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  <author>David Steeman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  <comment ref="F43" authorId="3">
      <text>
        <r>
          <rPr>
            <b/>
            <sz val="9"/>
            <rFont val="Tahoma"/>
            <family val="2"/>
          </rPr>
          <t>David Steeman:</t>
        </r>
        <r>
          <rPr>
            <sz val="9"/>
            <rFont val="Tahoma"/>
            <family val="2"/>
          </rPr>
          <t xml:space="preserve">
Gewenste IBU: 32</t>
        </r>
      </text>
    </comment>
  </commentList>
</comments>
</file>

<file path=xl/sharedStrings.xml><?xml version="1.0" encoding="utf-8"?>
<sst xmlns="http://schemas.openxmlformats.org/spreadsheetml/2006/main" count="810" uniqueCount="717">
  <si>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</si>
  <si>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</si>
  <si>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</si>
  <si>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</si>
  <si>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</si>
  <si>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</si>
  <si>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</si>
  <si>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</si>
  <si>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</si>
  <si>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</si>
  <si>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</si>
  <si>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</si>
  <si>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</si>
  <si>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</si>
  <si>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</si>
  <si>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</si>
  <si>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</si>
  <si>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</si>
  <si>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</si>
  <si>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</si>
  <si>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</si>
  <si>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</si>
  <si>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</si>
  <si>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</si>
  <si>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</si>
  <si>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</si>
  <si>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</si>
  <si>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</si>
  <si>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</si>
  <si>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</si>
  <si>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</si>
  <si>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</si>
  <si>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</si>
  <si>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</si>
  <si>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</si>
  <si>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</si>
  <si>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</si>
  <si>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</si>
  <si>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</si>
  <si>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</si>
  <si>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</si>
  <si>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</si>
  <si>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</si>
  <si>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</si>
  <si>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</si>
  <si>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</si>
  <si>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</si>
  <si>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</si>
  <si>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</si>
  <si>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</si>
  <si>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</si>
  <si>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</si>
  <si>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</si>
  <si>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</si>
  <si>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</si>
  <si>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</si>
  <si>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</si>
  <si>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</si>
  <si>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</si>
  <si>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</si>
  <si>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</si>
  <si>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</si>
  <si>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</si>
  <si>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</si>
  <si>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</si>
  <si>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</si>
  <si>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</si>
  <si>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</si>
  <si>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</si>
  <si>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</si>
  <si>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</si>
  <si>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</si>
  <si>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</si>
  <si>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</si>
  <si>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</si>
  <si>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</si>
  <si>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</si>
  <si>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</si>
  <si>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</si>
  <si>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</si>
  <si>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</si>
  <si>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</si>
  <si>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</si>
  <si>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</si>
  <si>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</si>
  <si>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</si>
  <si>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</si>
  <si>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</si>
  <si>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</si>
  <si>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</si>
  <si>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</si>
  <si>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</si>
  <si>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</si>
  <si>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</si>
  <si>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</si>
  <si>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</si>
  <si>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</si>
  <si>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</si>
  <si>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</si>
  <si>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</si>
  <si>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</si>
  <si>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</si>
  <si>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</si>
  <si>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</si>
  <si>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</si>
  <si>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</si>
  <si>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</si>
  <si>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</si>
  <si>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</si>
  <si>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</si>
  <si>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</si>
  <si>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</si>
  <si>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</si>
  <si>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</si>
  <si>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</si>
  <si>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</si>
  <si>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</si>
  <si>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</si>
  <si>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</si>
  <si>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</si>
  <si>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</si>
  <si>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</si>
  <si>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</si>
  <si>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</si>
  <si>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</si>
  <si>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</si>
  <si>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</si>
  <si>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</si>
  <si>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</si>
  <si>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</si>
  <si>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</si>
  <si>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</si>
  <si>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</si>
  <si>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</si>
  <si>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</si>
  <si>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</si>
  <si>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</si>
  <si>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</si>
  <si>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</si>
  <si>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</si>
  <si>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</si>
  <si>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</si>
  <si>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</si>
  <si>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</si>
  <si>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</si>
  <si>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</si>
  <si>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</si>
  <si>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</si>
  <si>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</si>
  <si>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</si>
  <si>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</si>
  <si>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</si>
  <si>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</si>
  <si>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</si>
  <si>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</si>
  <si>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</si>
  <si>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</si>
  <si>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</si>
  <si>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</si>
  <si>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</si>
  <si>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</si>
  <si>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</si>
  <si>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</si>
  <si>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</si>
  <si>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</si>
  <si>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</si>
  <si>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</si>
  <si>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</si>
  <si>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</si>
  <si>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</si>
  <si>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</si>
  <si>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</si>
  <si>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</si>
  <si>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</si>
  <si>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</si>
  <si>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</si>
  <si>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</si>
  <si>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</si>
  <si>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</si>
  <si>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</si>
  <si>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</si>
  <si>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</si>
  <si>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</si>
  <si>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</si>
  <si>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</si>
  <si>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</si>
  <si>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</si>
  <si>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</si>
  <si>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</si>
  <si>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</si>
  <si>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</si>
  <si>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</si>
  <si>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</si>
  <si>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</si>
  <si>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</si>
  <si>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</si>
  <si>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</si>
  <si>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</si>
  <si>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</si>
  <si>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</si>
  <si>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</si>
  <si>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</si>
  <si>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</si>
  <si>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</si>
  <si>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</si>
  <si>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</si>
  <si>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</si>
  <si>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</si>
  <si>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</si>
  <si>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</si>
  <si>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</si>
  <si>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</si>
  <si>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</si>
  <si>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</si>
  <si>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</si>
  <si>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</si>
  <si>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</si>
  <si>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</si>
  <si>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</si>
  <si>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</si>
  <si>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</si>
  <si>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</si>
  <si>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</si>
  <si>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</si>
  <si>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</si>
  <si>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</si>
  <si>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</si>
  <si>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</si>
  <si>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</si>
  <si>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</si>
  <si>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</si>
  <si>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</si>
  <si>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</si>
  <si>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</si>
  <si>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</si>
  <si>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</si>
  <si>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</si>
  <si>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</si>
  <si>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</si>
  <si>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</si>
  <si>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</si>
  <si>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</si>
  <si>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</si>
  <si>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</si>
  <si>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</si>
  <si>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</si>
  <si>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</si>
  <si>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</si>
  <si>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</si>
  <si>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</si>
  <si>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</si>
  <si>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</si>
  <si>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</si>
  <si>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</si>
  <si>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</si>
  <si>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</si>
  <si>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</si>
  <si>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</si>
  <si>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</si>
  <si>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</si>
  <si>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</si>
  <si>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</si>
  <si>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</si>
  <si>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</si>
  <si>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</si>
  <si>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</si>
  <si>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</si>
  <si>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</si>
  <si>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</si>
  <si>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</si>
  <si>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</si>
  <si>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</si>
  <si>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</si>
  <si>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</si>
  <si>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</si>
  <si>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</si>
  <si>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</si>
  <si>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</si>
  <si>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</si>
  <si>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</si>
  <si>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</si>
  <si>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</si>
  <si>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</si>
  <si>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</si>
  <si>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</si>
  <si>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</si>
  <si>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</si>
  <si>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</si>
  <si>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</si>
  <si>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</si>
  <si>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</si>
  <si>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</si>
  <si>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</si>
  <si>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</si>
  <si>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</si>
  <si>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</si>
  <si>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</si>
  <si>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</si>
  <si>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</si>
  <si>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</si>
  <si>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</si>
  <si>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</si>
  <si>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</si>
  <si>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</si>
  <si>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</si>
  <si>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</si>
  <si>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</si>
  <si>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</si>
  <si>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</si>
  <si>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</si>
  <si>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</si>
  <si>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</si>
  <si>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</si>
  <si>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</si>
  <si>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</si>
  <si>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</si>
  <si>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</si>
  <si>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</si>
  <si>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</si>
  <si>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</si>
  <si>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</si>
  <si>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</si>
  <si>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</si>
  <si>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</si>
  <si>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</si>
  <si>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</si>
  <si>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</si>
  <si>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</si>
  <si>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</si>
  <si>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</si>
  <si>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</si>
  <si>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</si>
  <si>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</si>
  <si>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</si>
  <si>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</si>
  <si>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</si>
  <si>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</si>
  <si>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</si>
  <si>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</si>
  <si>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</si>
  <si>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</si>
  <si>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</si>
  <si>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</si>
  <si>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</si>
  <si>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</si>
  <si>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</si>
  <si>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</si>
  <si>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</si>
  <si>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</si>
  <si>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</si>
  <si>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</si>
  <si>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</si>
  <si>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</si>
  <si>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</si>
  <si>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</si>
  <si>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</si>
  <si>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</si>
  <si>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</si>
  <si>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</si>
  <si>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</si>
  <si>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</si>
  <si>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</si>
  <si>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</si>
  <si>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</si>
  <si>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</si>
  <si>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</si>
  <si>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</si>
  <si>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</si>
  <si>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</si>
  <si>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</si>
  <si>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</si>
  <si>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</si>
  <si>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</si>
  <si>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</si>
  <si>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</si>
  <si>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</si>
  <si>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</si>
  <si>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</si>
  <si>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</si>
  <si>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</si>
  <si>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</si>
  <si>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</si>
  <si>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</si>
  <si>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</si>
  <si>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</si>
  <si>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</si>
  <si>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</si>
  <si>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</si>
  <si>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</si>
  <si>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</si>
  <si>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</si>
  <si>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</si>
  <si>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</si>
  <si>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</si>
  <si>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</si>
  <si>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</si>
  <si>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</si>
  <si>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</si>
  <si>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</si>
  <si>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</si>
  <si>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</si>
  <si>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</si>
  <si>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</si>
  <si>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</si>
  <si>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</si>
  <si>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</si>
  <si>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</si>
  <si>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</si>
  <si>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</si>
  <si>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</si>
  <si>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</si>
  <si>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</si>
  <si>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</si>
  <si>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</si>
  <si>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</si>
  <si>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</si>
  <si>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</si>
  <si>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</si>
  <si>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</si>
  <si>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</si>
  <si>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</si>
  <si>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</si>
  <si>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</si>
  <si>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</si>
  <si>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</si>
  <si>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</si>
  <si>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</si>
  <si>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</si>
  <si>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</si>
  <si>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</si>
  <si>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</si>
  <si>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</si>
  <si>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</si>
  <si>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</si>
  <si>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</si>
  <si>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</si>
  <si>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</si>
  <si>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</si>
  <si>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</si>
  <si>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</si>
  <si>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</si>
  <si>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</si>
  <si>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</si>
  <si>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</si>
  <si>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</si>
  <si>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</si>
  <si>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</si>
  <si>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</si>
  <si>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</si>
  <si>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</si>
  <si>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</si>
  <si>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</si>
  <si>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</si>
  <si>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</si>
  <si>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</si>
  <si>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</si>
  <si>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</si>
  <si>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</si>
  <si>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</si>
  <si>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</si>
  <si>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</si>
  <si>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</si>
  <si>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</si>
  <si>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</si>
  <si>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</si>
  <si>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</si>
  <si>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</si>
  <si>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</si>
  <si>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</si>
  <si>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</si>
  <si>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</si>
  <si>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</si>
  <si>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</si>
  <si>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</si>
  <si>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</si>
  <si>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</si>
  <si>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</si>
  <si>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</si>
  <si>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</si>
  <si>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</si>
  <si>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</si>
  <si>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</si>
  <si>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</si>
  <si>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</si>
  <si>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</si>
  <si>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</si>
  <si>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</si>
  <si>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</si>
  <si>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</si>
  <si>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</si>
  <si>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</si>
  <si>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</si>
  <si>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</si>
  <si>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</si>
  <si>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</si>
  <si>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</si>
  <si>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</si>
  <si>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</si>
  <si>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</si>
  <si>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</si>
  <si>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</si>
  <si>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</si>
  <si>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</si>
  <si>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</si>
  <si>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</si>
  <si>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</si>
  <si>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</si>
  <si>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</si>
  <si>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</si>
  <si>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</si>
  <si>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</si>
  <si>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</si>
  <si>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</si>
  <si>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</si>
  <si>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</si>
  <si>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</si>
  <si>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</si>
  <si>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</si>
  <si>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</si>
  <si>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</si>
  <si>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</si>
  <si>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</si>
  <si>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</si>
  <si>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</si>
  <si>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</si>
  <si>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</si>
  <si>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</si>
  <si>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</si>
  <si>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</si>
  <si>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</si>
  <si>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</si>
  <si>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</si>
  <si>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</si>
  <si>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</si>
  <si>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</si>
  <si>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</si>
  <si>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</si>
  <si>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</si>
  <si>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</si>
  <si>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</si>
  <si>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</si>
  <si>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</si>
  <si>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</si>
  <si>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</si>
  <si>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</si>
  <si>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</si>
  <si>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</si>
  <si>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</si>
  <si>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</si>
  <si>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</si>
  <si>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</si>
  <si>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</si>
  <si>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</si>
  <si>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</si>
  <si>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</si>
  <si>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</si>
  <si>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</si>
  <si>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</si>
  <si>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</si>
  <si>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</si>
  <si>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</si>
  <si>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</si>
  <si>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</si>
  <si>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</si>
  <si>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</si>
  <si>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</si>
  <si>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</si>
  <si>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</si>
  <si>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</si>
  <si>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</si>
  <si>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</si>
  <si>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</si>
  <si>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</si>
  <si>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</si>
  <si>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</si>
  <si>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</si>
  <si>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</si>
  <si>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</si>
  <si>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</si>
  <si>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</si>
  <si>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</si>
  <si>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</si>
  <si>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</si>
  <si>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</si>
  <si>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</si>
  <si>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</si>
  <si>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</si>
  <si>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</si>
  <si>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</si>
  <si>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</si>
  <si>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</si>
  <si>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</si>
  <si>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</si>
  <si>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</si>
  <si>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</si>
  <si>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</si>
  <si>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</si>
  <si>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</si>
  <si>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</si>
  <si>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</si>
  <si>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</si>
  <si>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</si>
  <si>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</si>
  <si>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</si>
  <si>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</si>
  <si>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</si>
  <si>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</si>
  <si>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</si>
  <si>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</si>
  <si>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</si>
  <si>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</si>
  <si>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</si>
  <si>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</si>
  <si>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</si>
  <si>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</si>
  <si>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</si>
  <si>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</si>
  <si>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</si>
  <si>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</si>
  <si>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</si>
  <si>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</si>
  <si>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</si>
  <si>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</si>
  <si>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</si>
  <si>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</si>
  <si>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</si>
  <si>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</si>
  <si>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</si>
  <si>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</si>
  <si>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</si>
  <si>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</si>
  <si>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</si>
  <si>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</si>
  <si>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</si>
  <si>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</si>
  <si>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</si>
  <si>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</si>
  <si>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</si>
  <si>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</si>
  <si>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</si>
  <si>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</si>
  <si>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</si>
  <si>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</si>
  <si>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</si>
  <si>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</si>
  <si>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</si>
  <si>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</si>
  <si>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</si>
  <si>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</si>
  <si>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</si>
  <si>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</si>
  <si>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</si>
  <si>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</si>
  <si>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</si>
  <si>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</si>
  <si>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</si>
  <si>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</si>
  <si>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</si>
  <si>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</si>
  <si>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</si>
  <si>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</si>
  <si>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</si>
  <si>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</si>
  <si>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</si>
  <si>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</si>
  <si>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</si>
  <si>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</si>
  <si>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</si>
  <si>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</si>
  <si>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</si>
  <si>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</si>
  <si>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</si>
  <si>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</si>
  <si>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</si>
  <si>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</si>
  <si>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</si>
  <si>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</si>
  <si>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</si>
  <si>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</si>
  <si>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</si>
  <si>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</si>
  <si>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</si>
  <si>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</si>
  <si>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</si>
  <si>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</si>
  <si>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</si>
  <si>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</si>
  <si>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</si>
  <si>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</si>
  <si>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</si>
  <si>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</si>
  <si>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</si>
  <si>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</si>
  <si>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</si>
  <si>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</si>
  <si>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</si>
  <si>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</si>
  <si>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</si>
  <si>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</si>
  <si>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</si>
  <si>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</si>
  <si>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</si>
  <si>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</si>
  <si>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</si>
  <si>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</si>
  <si>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</si>
  <si>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FWH</t>
  </si>
  <si>
    <t>niet</t>
  </si>
  <si>
    <t>2wk</t>
  </si>
  <si>
    <t>hoofdgist</t>
  </si>
  <si>
    <t>J</t>
  </si>
  <si>
    <t>Sterke Blonde Duvel</t>
  </si>
  <si>
    <t>D</t>
  </si>
  <si>
    <t>sg voor koken: 1049</t>
  </si>
  <si>
    <t>Recept 39</t>
  </si>
  <si>
    <t>REFRAC</t>
  </si>
  <si>
    <t>Etiket:</t>
  </si>
</sst>
</file>

<file path=xl/styles.xml><?xml version="1.0" encoding="utf-8"?>
<styleSheet xmlns="http://schemas.openxmlformats.org/spreadsheetml/2006/main">
  <numFmts count="7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  <numFmt numFmtId="223" formatCode="0.0&quot; kW&quot;"/>
    <numFmt numFmtId="224" formatCode="[$-813]dddd\ d\ mmmm\ yyyy"/>
    <numFmt numFmtId="225" formatCode="[$-813]dd\-mmm\-yy;@"/>
  </numFmts>
  <fonts count="120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6" fontId="31" fillId="35" borderId="43" xfId="0" applyNumberFormat="1" applyFont="1" applyFill="1" applyBorder="1" applyAlignment="1" applyProtection="1">
      <alignment horizontal="left" vertical="center"/>
      <protection/>
    </xf>
    <xf numFmtId="1" fontId="31" fillId="35" borderId="43" xfId="0" applyNumberFormat="1" applyFont="1" applyFill="1" applyBorder="1" applyAlignment="1" applyProtection="1">
      <alignment horizontal="center" vertical="center"/>
      <protection/>
    </xf>
    <xf numFmtId="200" fontId="34" fillId="35" borderId="43" xfId="0" applyNumberFormat="1" applyFont="1" applyFill="1" applyBorder="1" applyAlignment="1" applyProtection="1">
      <alignment horizontal="left" vertical="center"/>
      <protection/>
    </xf>
    <xf numFmtId="201" fontId="34" fillId="35" borderId="43" xfId="0" applyNumberFormat="1" applyFont="1" applyFill="1" applyBorder="1" applyAlignment="1" applyProtection="1">
      <alignment horizontal="center" vertical="center"/>
      <protection/>
    </xf>
    <xf numFmtId="0" fontId="13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6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vertical="center"/>
    </xf>
    <xf numFmtId="0" fontId="12" fillId="0" borderId="47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8" xfId="0" applyNumberFormat="1" applyFont="1" applyBorder="1" applyAlignment="1" applyProtection="1">
      <alignment horizontal="center" vertical="center"/>
      <protection locked="0"/>
    </xf>
    <xf numFmtId="0" fontId="3" fillId="38" borderId="49" xfId="0" applyFont="1" applyFill="1" applyBorder="1" applyAlignment="1" applyProtection="1">
      <alignment horizontal="left" vertical="center"/>
      <protection locked="0"/>
    </xf>
    <xf numFmtId="0" fontId="45" fillId="38" borderId="50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0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1" xfId="0" applyNumberFormat="1" applyFont="1" applyFill="1" applyBorder="1" applyAlignment="1">
      <alignment horizontal="center" vertical="center"/>
    </xf>
    <xf numFmtId="0" fontId="25" fillId="38" borderId="50" xfId="0" applyFont="1" applyFill="1" applyBorder="1" applyAlignment="1" applyProtection="1">
      <alignment horizontal="center" vertical="center"/>
      <protection/>
    </xf>
    <xf numFmtId="187" fontId="3" fillId="38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left" vertical="center"/>
      <protection locked="0"/>
    </xf>
    <xf numFmtId="0" fontId="45" fillId="0" borderId="50" xfId="0" applyFont="1" applyFill="1" applyBorder="1" applyAlignment="1" applyProtection="1">
      <alignment horizontal="center" vertical="center"/>
      <protection locked="0"/>
    </xf>
    <xf numFmtId="202" fontId="3" fillId="0" borderId="5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4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5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1" xfId="0" applyNumberFormat="1" applyFont="1" applyFill="1" applyBorder="1" applyAlignment="1">
      <alignment horizontal="center" vertical="center"/>
    </xf>
    <xf numFmtId="180" fontId="3" fillId="0" borderId="56" xfId="0" applyNumberFormat="1" applyFont="1" applyBorder="1" applyAlignment="1" applyProtection="1">
      <alignment horizontal="center" vertical="center"/>
      <protection locked="0"/>
    </xf>
    <xf numFmtId="180" fontId="25" fillId="0" borderId="54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2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7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8" xfId="0" applyNumberFormat="1" applyFont="1" applyFill="1" applyBorder="1" applyAlignment="1" applyProtection="1">
      <alignment horizontal="center" vertical="center"/>
      <protection locked="0"/>
    </xf>
    <xf numFmtId="180" fontId="17" fillId="35" borderId="58" xfId="0" applyNumberFormat="1" applyFont="1" applyFill="1" applyBorder="1" applyAlignment="1" applyProtection="1">
      <alignment horizontal="center" vertical="center"/>
      <protection locked="0"/>
    </xf>
    <xf numFmtId="203" fontId="31" fillId="35" borderId="59" xfId="0" applyNumberFormat="1" applyFont="1" applyFill="1" applyBorder="1" applyAlignment="1" applyProtection="1">
      <alignment horizontal="center" vertical="center"/>
      <protection/>
    </xf>
    <xf numFmtId="180" fontId="3" fillId="35" borderId="6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8" xfId="0" applyNumberFormat="1" applyFont="1" applyFill="1" applyBorder="1" applyAlignment="1" applyProtection="1">
      <alignment horizontal="center" vertical="center"/>
      <protection locked="0"/>
    </xf>
    <xf numFmtId="0" fontId="17" fillId="35" borderId="58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1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1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1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1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2" xfId="0" applyNumberFormat="1" applyFont="1" applyFill="1" applyBorder="1" applyAlignment="1" applyProtection="1">
      <alignment horizontal="right" vertical="center"/>
      <protection/>
    </xf>
    <xf numFmtId="182" fontId="42" fillId="0" borderId="63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4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5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5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5" xfId="0" applyNumberFormat="1" applyFont="1" applyFill="1" applyBorder="1" applyAlignment="1" applyProtection="1">
      <alignment horizontal="center" vertical="center"/>
      <protection/>
    </xf>
    <xf numFmtId="202" fontId="34" fillId="35" borderId="65" xfId="0" applyNumberFormat="1" applyFont="1" applyFill="1" applyBorder="1" applyAlignment="1" applyProtection="1">
      <alignment horizontal="right" vertical="center"/>
      <protection/>
    </xf>
    <xf numFmtId="196" fontId="31" fillId="35" borderId="66" xfId="0" applyNumberFormat="1" applyFont="1" applyFill="1" applyBorder="1" applyAlignment="1" applyProtection="1">
      <alignment horizontal="center" vertical="center"/>
      <protection/>
    </xf>
    <xf numFmtId="182" fontId="31" fillId="35" borderId="67" xfId="57" applyNumberFormat="1" applyFont="1" applyFill="1" applyBorder="1" applyAlignment="1" applyProtection="1">
      <alignment horizontal="center" vertical="center"/>
      <protection/>
    </xf>
    <xf numFmtId="0" fontId="1" fillId="33" borderId="66" xfId="0" applyFont="1" applyFill="1" applyBorder="1" applyAlignment="1">
      <alignment horizontal="left"/>
    </xf>
    <xf numFmtId="0" fontId="19" fillId="33" borderId="66" xfId="0" applyFont="1" applyFill="1" applyBorder="1" applyAlignment="1">
      <alignment horizontal="right"/>
    </xf>
    <xf numFmtId="0" fontId="19" fillId="33" borderId="66" xfId="0" applyFont="1" applyFill="1" applyBorder="1" applyAlignment="1" applyProtection="1">
      <alignment/>
      <protection locked="0"/>
    </xf>
    <xf numFmtId="0" fontId="1" fillId="33" borderId="66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8" xfId="0" applyBorder="1" applyAlignment="1">
      <alignment horizontal="center"/>
    </xf>
    <xf numFmtId="1" fontId="0" fillId="0" borderId="6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8" xfId="0" applyFill="1" applyBorder="1" applyAlignment="1">
      <alignment/>
    </xf>
    <xf numFmtId="0" fontId="0" fillId="0" borderId="0" xfId="0" applyBorder="1" applyAlignment="1">
      <alignment/>
    </xf>
    <xf numFmtId="180" fontId="0" fillId="0" borderId="68" xfId="0" applyNumberFormat="1" applyBorder="1" applyAlignment="1">
      <alignment horizontal="center"/>
    </xf>
    <xf numFmtId="0" fontId="0" fillId="0" borderId="68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69" xfId="0" applyFont="1" applyFill="1" applyBorder="1" applyAlignment="1">
      <alignment horizontal="center" vertical="center" wrapText="1"/>
    </xf>
    <xf numFmtId="0" fontId="0" fillId="39" borderId="70" xfId="0" applyFont="1" applyFill="1" applyBorder="1" applyAlignment="1">
      <alignment horizontal="center" vertical="center" wrapText="1"/>
    </xf>
    <xf numFmtId="1" fontId="0" fillId="39" borderId="70" xfId="0" applyNumberFormat="1" applyFont="1" applyFill="1" applyBorder="1" applyAlignment="1">
      <alignment horizontal="center" vertical="center" wrapText="1"/>
    </xf>
    <xf numFmtId="0" fontId="0" fillId="42" borderId="70" xfId="0" applyFill="1" applyBorder="1" applyAlignment="1">
      <alignment horizontal="center" vertical="center" wrapText="1"/>
    </xf>
    <xf numFmtId="0" fontId="0" fillId="39" borderId="66" xfId="0" applyFont="1" applyFill="1" applyBorder="1" applyAlignment="1">
      <alignment horizontal="center" vertical="center" wrapText="1"/>
    </xf>
    <xf numFmtId="180" fontId="0" fillId="39" borderId="70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8" xfId="0" applyNumberFormat="1" applyFill="1" applyBorder="1" applyAlignment="1">
      <alignment horizontal="center"/>
    </xf>
    <xf numFmtId="0" fontId="0" fillId="43" borderId="68" xfId="0" applyFill="1" applyBorder="1" applyAlignment="1">
      <alignment horizontal="center"/>
    </xf>
    <xf numFmtId="0" fontId="0" fillId="43" borderId="68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8" xfId="0" applyFill="1" applyBorder="1" applyAlignment="1">
      <alignment/>
    </xf>
    <xf numFmtId="180" fontId="0" fillId="33" borderId="68" xfId="0" applyNumberFormat="1" applyFill="1" applyBorder="1" applyAlignment="1">
      <alignment horizontal="center"/>
    </xf>
    <xf numFmtId="0" fontId="11" fillId="42" borderId="68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1" xfId="0" applyNumberFormat="1" applyFont="1" applyFill="1" applyBorder="1" applyAlignment="1" applyProtection="1">
      <alignment horizontal="center" vertical="center"/>
      <protection/>
    </xf>
    <xf numFmtId="0" fontId="62" fillId="45" borderId="72" xfId="0" applyFont="1" applyFill="1" applyBorder="1" applyAlignment="1">
      <alignment horizontal="center"/>
    </xf>
    <xf numFmtId="1" fontId="62" fillId="45" borderId="72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2" xfId="0" applyNumberFormat="1" applyFont="1" applyFill="1" applyBorder="1" applyAlignment="1">
      <alignment horizontal="center"/>
    </xf>
    <xf numFmtId="0" fontId="62" fillId="45" borderId="43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2" xfId="0" applyFont="1" applyFill="1" applyBorder="1" applyAlignment="1">
      <alignment horizontal="center"/>
    </xf>
    <xf numFmtId="0" fontId="62" fillId="45" borderId="70" xfId="0" applyFont="1" applyFill="1" applyBorder="1" applyAlignment="1">
      <alignment horizontal="center"/>
    </xf>
    <xf numFmtId="0" fontId="62" fillId="45" borderId="43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0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4" xfId="0" applyFont="1" applyFill="1" applyBorder="1" applyAlignment="1" applyProtection="1">
      <alignment horizontal="right"/>
      <protection/>
    </xf>
    <xf numFmtId="185" fontId="41" fillId="37" borderId="75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6" xfId="0" applyFont="1" applyFill="1" applyBorder="1" applyAlignment="1">
      <alignment horizontal="center" vertical="center" wrapText="1"/>
    </xf>
    <xf numFmtId="2" fontId="28" fillId="38" borderId="76" xfId="0" applyNumberFormat="1" applyFont="1" applyFill="1" applyBorder="1" applyAlignment="1" applyProtection="1">
      <alignment horizontal="center" vertical="center"/>
      <protection/>
    </xf>
    <xf numFmtId="2" fontId="28" fillId="0" borderId="76" xfId="0" applyNumberFormat="1" applyFont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34" borderId="76" xfId="0" applyNumberFormat="1" applyFont="1" applyFill="1" applyBorder="1" applyAlignment="1" applyProtection="1">
      <alignment horizontal="center" vertical="center"/>
      <protection/>
    </xf>
    <xf numFmtId="2" fontId="28" fillId="0" borderId="78" xfId="0" applyNumberFormat="1" applyFont="1" applyFill="1" applyBorder="1" applyAlignment="1" applyProtection="1">
      <alignment horizontal="center" vertical="center"/>
      <protection/>
    </xf>
    <xf numFmtId="2" fontId="28" fillId="34" borderId="79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0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1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8" xfId="0" applyNumberFormat="1" applyFont="1" applyFill="1" applyBorder="1" applyAlignment="1" applyProtection="1">
      <alignment horizontal="center" vertical="center"/>
      <protection locked="0"/>
    </xf>
    <xf numFmtId="180" fontId="31" fillId="38" borderId="82" xfId="0" applyNumberFormat="1" applyFont="1" applyFill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0" fillId="44" borderId="84" xfId="0" applyFill="1" applyBorder="1" applyAlignment="1">
      <alignment/>
    </xf>
    <xf numFmtId="0" fontId="22" fillId="0" borderId="85" xfId="0" applyFont="1" applyBorder="1" applyAlignment="1">
      <alignment horizontal="right" vertical="center"/>
    </xf>
    <xf numFmtId="202" fontId="3" fillId="0" borderId="86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7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8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89" xfId="0" applyNumberFormat="1" applyFont="1" applyFill="1" applyBorder="1" applyAlignment="1">
      <alignment horizontal="right"/>
    </xf>
    <xf numFmtId="0" fontId="1" fillId="33" borderId="90" xfId="0" applyFont="1" applyFill="1" applyBorder="1" applyAlignment="1" applyProtection="1">
      <alignment/>
      <protection locked="0"/>
    </xf>
    <xf numFmtId="189" fontId="40" fillId="35" borderId="91" xfId="0" applyNumberFormat="1" applyFont="1" applyFill="1" applyBorder="1" applyAlignment="1" applyProtection="1">
      <alignment horizontal="center" vertical="center"/>
      <protection/>
    </xf>
    <xf numFmtId="180" fontId="40" fillId="35" borderId="91" xfId="0" applyNumberFormat="1" applyFont="1" applyFill="1" applyBorder="1" applyAlignment="1" applyProtection="1">
      <alignment horizontal="center" vertical="center"/>
      <protection/>
    </xf>
    <xf numFmtId="0" fontId="25" fillId="51" borderId="92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3" xfId="0" applyNumberFormat="1" applyFont="1" applyFill="1" applyBorder="1" applyAlignment="1" applyProtection="1">
      <alignment horizontal="left" vertical="center"/>
      <protection/>
    </xf>
    <xf numFmtId="0" fontId="73" fillId="0" borderId="43" xfId="0" applyFont="1" applyBorder="1" applyAlignment="1">
      <alignment/>
    </xf>
    <xf numFmtId="0" fontId="21" fillId="33" borderId="43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4" xfId="0" applyFont="1" applyBorder="1" applyAlignment="1" quotePrefix="1">
      <alignment horizontal="center" vertical="center"/>
    </xf>
    <xf numFmtId="191" fontId="15" fillId="35" borderId="95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0" xfId="0" applyNumberFormat="1" applyFont="1" applyFill="1" applyBorder="1" applyAlignment="1" applyProtection="1">
      <alignment horizontal="center" vertical="center"/>
      <protection/>
    </xf>
    <xf numFmtId="180" fontId="3" fillId="0" borderId="96" xfId="0" applyNumberFormat="1" applyFont="1" applyFill="1" applyBorder="1" applyAlignment="1" applyProtection="1">
      <alignment horizontal="center" vertical="center"/>
      <protection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0" fontId="0" fillId="52" borderId="68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7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8" xfId="0" applyNumberFormat="1" applyFont="1" applyFill="1" applyBorder="1" applyAlignment="1" applyProtection="1">
      <alignment horizontal="center" vertical="center"/>
      <protection/>
    </xf>
    <xf numFmtId="191" fontId="34" fillId="35" borderId="99" xfId="0" applyNumberFormat="1" applyFont="1" applyFill="1" applyBorder="1" applyAlignment="1" applyProtection="1">
      <alignment horizontal="center" vertical="center"/>
      <protection/>
    </xf>
    <xf numFmtId="0" fontId="1" fillId="49" borderId="100" xfId="0" applyFont="1" applyFill="1" applyBorder="1" applyAlignment="1">
      <alignment/>
    </xf>
    <xf numFmtId="0" fontId="1" fillId="49" borderId="101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7" xfId="0" applyNumberFormat="1" applyFont="1" applyFill="1" applyBorder="1" applyAlignment="1" applyProtection="1">
      <alignment horizontal="left" vertical="center"/>
      <protection/>
    </xf>
    <xf numFmtId="1" fontId="34" fillId="35" borderId="97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2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1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1" xfId="0" applyNumberFormat="1" applyFont="1" applyFill="1" applyBorder="1" applyAlignment="1" applyProtection="1">
      <alignment horizontal="center" vertical="center"/>
      <protection/>
    </xf>
    <xf numFmtId="180" fontId="3" fillId="0" borderId="91" xfId="0" applyNumberFormat="1" applyFont="1" applyBorder="1" applyAlignment="1" applyProtection="1">
      <alignment horizontal="center" vertical="center"/>
      <protection/>
    </xf>
    <xf numFmtId="180" fontId="3" fillId="0" borderId="91" xfId="0" applyNumberFormat="1" applyFont="1" applyFill="1" applyBorder="1" applyAlignment="1" applyProtection="1">
      <alignment horizontal="center" vertical="center"/>
      <protection/>
    </xf>
    <xf numFmtId="180" fontId="3" fillId="34" borderId="91" xfId="0" applyNumberFormat="1" applyFont="1" applyFill="1" applyBorder="1" applyAlignment="1" applyProtection="1">
      <alignment horizontal="center" vertical="center"/>
      <protection/>
    </xf>
    <xf numFmtId="2" fontId="57" fillId="37" borderId="91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1" xfId="0" applyNumberFormat="1" applyFont="1" applyFill="1" applyBorder="1" applyAlignment="1" applyProtection="1">
      <alignment horizontal="center" vertical="center"/>
      <protection/>
    </xf>
    <xf numFmtId="2" fontId="3" fillId="0" borderId="91" xfId="0" applyNumberFormat="1" applyFont="1" applyBorder="1" applyAlignment="1" applyProtection="1">
      <alignment horizontal="center" vertical="center"/>
      <protection/>
    </xf>
    <xf numFmtId="2" fontId="3" fillId="0" borderId="91" xfId="0" applyNumberFormat="1" applyFont="1" applyFill="1" applyBorder="1" applyAlignment="1" applyProtection="1">
      <alignment horizontal="center" vertical="center"/>
      <protection/>
    </xf>
    <xf numFmtId="2" fontId="3" fillId="34" borderId="91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3" xfId="0" applyNumberFormat="1" applyFont="1" applyFill="1" applyBorder="1" applyAlignment="1" applyProtection="1">
      <alignment horizontal="center" vertical="center"/>
      <protection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3" xfId="0" applyFont="1" applyFill="1" applyBorder="1" applyAlignment="1">
      <alignment/>
    </xf>
    <xf numFmtId="0" fontId="19" fillId="44" borderId="105" xfId="0" applyFont="1" applyFill="1" applyBorder="1" applyAlignment="1" applyProtection="1">
      <alignment horizontal="center" vertical="center"/>
      <protection locked="0"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5" xfId="0" applyNumberFormat="1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7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8" xfId="58" applyFont="1" applyFill="1" applyBorder="1" applyAlignment="1">
      <alignment horizontal="center"/>
      <protection/>
    </xf>
    <xf numFmtId="0" fontId="42" fillId="53" borderId="109" xfId="58" applyFont="1" applyFill="1" applyBorder="1" applyAlignment="1">
      <alignment horizontal="center"/>
      <protection/>
    </xf>
    <xf numFmtId="0" fontId="82" fillId="54" borderId="110" xfId="58" applyFont="1" applyFill="1" applyBorder="1" applyAlignment="1">
      <alignment horizontal="center"/>
      <protection/>
    </xf>
    <xf numFmtId="0" fontId="82" fillId="55" borderId="111" xfId="58" applyFont="1" applyFill="1" applyBorder="1" applyAlignment="1">
      <alignment horizontal="center"/>
      <protection/>
    </xf>
    <xf numFmtId="0" fontId="14" fillId="50" borderId="112" xfId="58" applyFont="1" applyFill="1" applyBorder="1" applyAlignment="1">
      <alignment horizontal="center"/>
      <protection/>
    </xf>
    <xf numFmtId="1" fontId="14" fillId="50" borderId="113" xfId="58" applyNumberFormat="1" applyFont="1" applyFill="1" applyBorder="1" applyAlignment="1">
      <alignment horizontal="center"/>
      <protection/>
    </xf>
    <xf numFmtId="0" fontId="40" fillId="53" borderId="114" xfId="58" applyFont="1" applyFill="1" applyBorder="1" applyAlignment="1">
      <alignment horizontal="center"/>
      <protection/>
    </xf>
    <xf numFmtId="0" fontId="83" fillId="54" borderId="115" xfId="58" applyFont="1" applyFill="1" applyBorder="1" applyAlignment="1">
      <alignment horizontal="center"/>
      <protection/>
    </xf>
    <xf numFmtId="0" fontId="80" fillId="55" borderId="116" xfId="58" applyFont="1" applyFill="1" applyBorder="1" applyAlignment="1">
      <alignment horizontal="center"/>
      <protection/>
    </xf>
    <xf numFmtId="0" fontId="84" fillId="44" borderId="117" xfId="58" applyFont="1" applyFill="1" applyBorder="1" applyAlignment="1">
      <alignment horizontal="center"/>
      <protection/>
    </xf>
    <xf numFmtId="1" fontId="19" fillId="0" borderId="91" xfId="58" applyNumberFormat="1" applyFont="1" applyFill="1" applyBorder="1" applyAlignment="1">
      <alignment horizontal="center"/>
      <protection/>
    </xf>
    <xf numFmtId="0" fontId="19" fillId="56" borderId="91" xfId="58" applyFont="1" applyFill="1" applyBorder="1" applyAlignment="1">
      <alignment horizontal="center"/>
      <protection/>
    </xf>
    <xf numFmtId="0" fontId="19" fillId="54" borderId="91" xfId="58" applyFont="1" applyFill="1" applyBorder="1" applyAlignment="1">
      <alignment horizontal="center"/>
      <protection/>
    </xf>
    <xf numFmtId="0" fontId="19" fillId="55" borderId="91" xfId="58" applyFont="1" applyFill="1" applyBorder="1" applyAlignment="1">
      <alignment horizontal="center"/>
      <protection/>
    </xf>
    <xf numFmtId="0" fontId="19" fillId="44" borderId="91" xfId="58" applyFont="1" applyFill="1" applyBorder="1" applyAlignment="1">
      <alignment horizontal="center"/>
      <protection/>
    </xf>
    <xf numFmtId="1" fontId="19" fillId="0" borderId="91" xfId="58" applyNumberFormat="1" applyFont="1" applyFill="1" applyBorder="1">
      <alignment/>
      <protection/>
    </xf>
    <xf numFmtId="0" fontId="19" fillId="56" borderId="91" xfId="58" applyFont="1" applyFill="1" applyBorder="1">
      <alignment/>
      <protection/>
    </xf>
    <xf numFmtId="0" fontId="19" fillId="54" borderId="91" xfId="58" applyFont="1" applyFill="1" applyBorder="1">
      <alignment/>
      <protection/>
    </xf>
    <xf numFmtId="0" fontId="19" fillId="55" borderId="91" xfId="58" applyFont="1" applyFill="1" applyBorder="1">
      <alignment/>
      <protection/>
    </xf>
    <xf numFmtId="0" fontId="19" fillId="44" borderId="91" xfId="58" applyFont="1" applyFill="1" applyBorder="1">
      <alignment/>
      <protection/>
    </xf>
    <xf numFmtId="0" fontId="19" fillId="33" borderId="84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8" xfId="58" applyFont="1" applyFill="1" applyBorder="1" applyAlignment="1">
      <alignment horizontal="center"/>
      <protection/>
    </xf>
    <xf numFmtId="0" fontId="17" fillId="58" borderId="119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3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0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8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223" fontId="36" fillId="33" borderId="121" xfId="0" applyNumberFormat="1" applyFont="1" applyFill="1" applyBorder="1" applyAlignment="1" applyProtection="1">
      <alignment horizontal="center"/>
      <protection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22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3" fillId="0" borderId="1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26" xfId="0" applyFont="1" applyBorder="1" applyAlignment="1" applyProtection="1">
      <alignment horizontal="center" vertical="center"/>
      <protection locked="0"/>
    </xf>
    <xf numFmtId="206" fontId="6" fillId="33" borderId="0" xfId="0" applyNumberFormat="1" applyFont="1" applyFill="1" applyBorder="1" applyAlignment="1">
      <alignment/>
    </xf>
    <xf numFmtId="49" fontId="20" fillId="35" borderId="58" xfId="0" applyNumberFormat="1" applyFont="1" applyFill="1" applyBorder="1" applyAlignment="1" applyProtection="1">
      <alignment horizontal="left" vertical="center"/>
      <protection locked="0"/>
    </xf>
    <xf numFmtId="0" fontId="31" fillId="38" borderId="127" xfId="0" applyFont="1" applyFill="1" applyBorder="1" applyAlignment="1">
      <alignment horizontal="right"/>
    </xf>
    <xf numFmtId="0" fontId="67" fillId="0" borderId="128" xfId="0" applyFont="1" applyBorder="1" applyAlignment="1">
      <alignment horizontal="right"/>
    </xf>
    <xf numFmtId="49" fontId="7" fillId="35" borderId="58" xfId="0" applyNumberFormat="1" applyFont="1" applyFill="1" applyBorder="1" applyAlignment="1" applyProtection="1">
      <alignment horizontal="center" vertical="center"/>
      <protection locked="0"/>
    </xf>
    <xf numFmtId="189" fontId="31" fillId="35" borderId="61" xfId="0" applyNumberFormat="1" applyFont="1" applyFill="1" applyBorder="1" applyAlignment="1" applyProtection="1">
      <alignment horizontal="right" vertical="center"/>
      <protection/>
    </xf>
    <xf numFmtId="204" fontId="31" fillId="35" borderId="61" xfId="0" applyNumberFormat="1" applyFont="1" applyFill="1" applyBorder="1" applyAlignment="1" applyProtection="1">
      <alignment horizontal="center" vertical="center"/>
      <protection/>
    </xf>
    <xf numFmtId="181" fontId="3" fillId="35" borderId="58" xfId="0" applyNumberFormat="1" applyFont="1" applyFill="1" applyBorder="1" applyAlignment="1" applyProtection="1">
      <alignment horizontal="center" vertical="center"/>
      <protection locked="0"/>
    </xf>
    <xf numFmtId="210" fontId="12" fillId="35" borderId="67" xfId="0" applyNumberFormat="1" applyFont="1" applyFill="1" applyBorder="1" applyAlignment="1" applyProtection="1">
      <alignment horizontal="center" vertical="center"/>
      <protection/>
    </xf>
    <xf numFmtId="0" fontId="4" fillId="38" borderId="129" xfId="0" applyFont="1" applyFill="1" applyBorder="1" applyAlignment="1" applyProtection="1">
      <alignment horizontal="left" vertical="center"/>
      <protection locked="0"/>
    </xf>
    <xf numFmtId="0" fontId="4" fillId="0" borderId="129" xfId="0" applyFont="1" applyBorder="1" applyAlignment="1">
      <alignment horizontal="left"/>
    </xf>
    <xf numFmtId="0" fontId="20" fillId="39" borderId="0" xfId="0" applyFont="1" applyFill="1" applyBorder="1" applyAlignment="1">
      <alignment vertical="center" wrapText="1"/>
    </xf>
    <xf numFmtId="0" fontId="29" fillId="0" borderId="129" xfId="0" applyFont="1" applyBorder="1" applyAlignment="1">
      <alignment horizontal="left" vertical="center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0" xfId="0" applyBorder="1" applyAlignment="1">
      <alignment wrapText="1"/>
    </xf>
    <xf numFmtId="0" fontId="0" fillId="0" borderId="131" xfId="0" applyBorder="1" applyAlignment="1">
      <alignment wrapText="1"/>
    </xf>
    <xf numFmtId="0" fontId="12" fillId="35" borderId="132" xfId="0" applyFont="1" applyFill="1" applyBorder="1" applyAlignment="1">
      <alignment horizontal="left" vertical="top"/>
    </xf>
    <xf numFmtId="0" fontId="0" fillId="0" borderId="0" xfId="0" applyAlignment="1">
      <alignment/>
    </xf>
    <xf numFmtId="212" fontId="8" fillId="35" borderId="133" xfId="0" applyNumberFormat="1" applyFont="1" applyFill="1" applyBorder="1" applyAlignment="1" applyProtection="1">
      <alignment horizontal="center" vertical="center"/>
      <protection locked="0"/>
    </xf>
    <xf numFmtId="212" fontId="0" fillId="0" borderId="134" xfId="0" applyNumberFormat="1" applyBorder="1" applyAlignment="1" applyProtection="1">
      <alignment horizontal="center" vertical="center"/>
      <protection locked="0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78" fillId="44" borderId="13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9" fillId="33" borderId="13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36" xfId="0" applyNumberFormat="1" applyFont="1" applyFill="1" applyBorder="1" applyAlignment="1" applyProtection="1">
      <alignment horizontal="right" vertical="center"/>
      <protection/>
    </xf>
    <xf numFmtId="221" fontId="0" fillId="0" borderId="137" xfId="0" applyNumberFormat="1" applyBorder="1" applyAlignment="1">
      <alignment horizontal="right"/>
    </xf>
    <xf numFmtId="222" fontId="34" fillId="35" borderId="137" xfId="0" applyNumberFormat="1" applyFont="1" applyFill="1" applyBorder="1" applyAlignment="1" applyProtection="1">
      <alignment horizontal="left" vertical="center"/>
      <protection/>
    </xf>
    <xf numFmtId="222" fontId="0" fillId="0" borderId="138" xfId="0" applyNumberFormat="1" applyBorder="1" applyAlignment="1">
      <alignment horizontal="left"/>
    </xf>
    <xf numFmtId="225" fontId="22" fillId="33" borderId="0" xfId="0" applyNumberFormat="1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36">
      <selection activeCell="A59" sqref="A59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6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6" customWidth="1"/>
    <col min="32" max="32" width="3.421875" style="366" customWidth="1"/>
    <col min="33" max="33" width="3.28125" style="366" customWidth="1"/>
    <col min="34" max="34" width="3.57421875" style="366" customWidth="1"/>
    <col min="35" max="35" width="3.28125" style="422" customWidth="1"/>
    <col min="36" max="36" width="1.7109375" style="419" customWidth="1"/>
    <col min="37" max="37" width="7.8515625" style="419" customWidth="1"/>
    <col min="38" max="41" width="3.28125" style="419" customWidth="1"/>
    <col min="42" max="42" width="4.28125" style="419" customWidth="1"/>
    <col min="43" max="43" width="4.28125" style="88" customWidth="1"/>
    <col min="44" max="45" width="4.28125" style="420" customWidth="1"/>
    <col min="46" max="46" width="8.8515625" style="0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20" t="s">
        <v>711</v>
      </c>
      <c r="B1" s="520"/>
      <c r="C1" s="3" t="s">
        <v>0</v>
      </c>
      <c r="F1" s="4" t="s">
        <v>588</v>
      </c>
      <c r="G1" s="266">
        <v>5</v>
      </c>
      <c r="H1" s="267">
        <f>IF(mashfactor&gt;4.5,0,(5-mashfactor)/2.2)</f>
        <v>0</v>
      </c>
      <c r="J1" s="6" t="s">
        <v>599</v>
      </c>
      <c r="K1" s="527">
        <v>41709</v>
      </c>
      <c r="L1" s="528"/>
      <c r="M1" s="23"/>
      <c r="S1" s="470"/>
      <c r="T1" s="460" t="s">
        <v>668</v>
      </c>
      <c r="U1" s="461" t="s">
        <v>673</v>
      </c>
      <c r="V1" s="462" t="s">
        <v>674</v>
      </c>
      <c r="W1" s="463" t="s">
        <v>675</v>
      </c>
      <c r="X1" s="464" t="s">
        <v>676</v>
      </c>
      <c r="Y1" s="430"/>
      <c r="Z1" s="454" t="s">
        <v>668</v>
      </c>
      <c r="AA1" s="427"/>
      <c r="AB1" s="7" t="s">
        <v>1</v>
      </c>
      <c r="AC1" s="8" t="str">
        <f>HoofdGist</f>
        <v>1388 Belgian Strong Ale    </v>
      </c>
      <c r="AD1" s="9"/>
      <c r="AR1" s="426"/>
      <c r="AS1" s="426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20" t="s">
        <v>714</v>
      </c>
      <c r="B2" s="520"/>
      <c r="C2" s="3" t="s">
        <v>3</v>
      </c>
      <c r="D2" s="13"/>
      <c r="F2" s="14" t="s">
        <v>4</v>
      </c>
      <c r="G2" s="15">
        <v>0.8</v>
      </c>
      <c r="I2" s="271"/>
      <c r="J2" s="6" t="s">
        <v>600</v>
      </c>
      <c r="K2" s="527">
        <v>41745</v>
      </c>
      <c r="L2" s="528"/>
      <c r="M2" s="23"/>
      <c r="N2" s="280"/>
      <c r="O2" s="248"/>
      <c r="P2" s="377"/>
      <c r="Q2" s="377"/>
      <c r="R2" s="377"/>
      <c r="S2" s="377"/>
      <c r="T2" s="465">
        <v>0</v>
      </c>
      <c r="U2" s="466">
        <v>255</v>
      </c>
      <c r="V2" s="467">
        <v>255</v>
      </c>
      <c r="W2" s="468">
        <v>255</v>
      </c>
      <c r="X2" s="469">
        <v>0</v>
      </c>
      <c r="Y2" s="431"/>
      <c r="Z2" s="455">
        <f>$F$26</f>
        <v>5.816714651186785</v>
      </c>
      <c r="AA2" s="427"/>
      <c r="AB2" s="529" t="str">
        <f>G3</f>
        <v>Fruitig aroma en palet droog zurige afdronk / Duvel.</v>
      </c>
      <c r="AC2" s="529"/>
      <c r="AR2" s="426"/>
      <c r="AS2" s="426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15</v>
      </c>
      <c r="C3" s="17" t="s">
        <v>6</v>
      </c>
      <c r="D3" s="530" t="s">
        <v>498</v>
      </c>
      <c r="E3" s="530"/>
      <c r="F3" s="530"/>
      <c r="G3" s="535" t="str">
        <f>VLOOKUP(HoofdGist,'Info-Tabellen'!$X:$AB,5,0)</f>
        <v>Fruitig aroma en palet droog zurige afdronk / Duvel.</v>
      </c>
      <c r="H3" s="536"/>
      <c r="I3" s="536"/>
      <c r="J3" s="536"/>
      <c r="K3" s="536"/>
      <c r="L3" s="536"/>
      <c r="M3" s="396"/>
      <c r="O3" s="248"/>
      <c r="P3" s="377"/>
      <c r="Q3" s="377"/>
      <c r="R3" s="377"/>
      <c r="S3" s="377"/>
      <c r="T3" s="465">
        <v>1</v>
      </c>
      <c r="U3" s="466">
        <v>247</v>
      </c>
      <c r="V3" s="467">
        <v>249</v>
      </c>
      <c r="W3" s="468">
        <v>180</v>
      </c>
      <c r="X3" s="469">
        <v>45</v>
      </c>
      <c r="Y3" s="431"/>
      <c r="Z3" s="445"/>
      <c r="AA3" s="427"/>
      <c r="AC3" s="2"/>
      <c r="AD3" s="2"/>
      <c r="AR3" s="426"/>
      <c r="AS3" s="426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0" t="s">
        <v>591</v>
      </c>
      <c r="B4" s="354">
        <v>1.5</v>
      </c>
      <c r="E4" s="22"/>
      <c r="F4" s="74" t="s">
        <v>590</v>
      </c>
      <c r="G4" s="24">
        <v>99.5</v>
      </c>
      <c r="J4" s="165" t="s">
        <v>619</v>
      </c>
      <c r="K4" s="269">
        <v>60</v>
      </c>
      <c r="L4" s="360">
        <f>IF(Aardbier="D",-0.5,IF(Aardbier="M",-0.3,IF(Aardbier=1,-0.8,2.5)))</f>
        <v>-0.5</v>
      </c>
      <c r="M4" s="23"/>
      <c r="N4" s="206"/>
      <c r="P4" s="484"/>
      <c r="Q4" s="484"/>
      <c r="R4" s="88">
        <f>0.0000152482628*voorsp_eindplato*voorsp_eindplato+0.0038422807854*voorsp_eindplato+1.0000602058824</f>
        <v>1.0050246828933718</v>
      </c>
      <c r="T4" s="465">
        <v>2</v>
      </c>
      <c r="U4" s="466">
        <v>245</v>
      </c>
      <c r="V4" s="467">
        <v>248</v>
      </c>
      <c r="W4" s="468">
        <v>146</v>
      </c>
      <c r="X4" s="469">
        <v>61</v>
      </c>
      <c r="Y4" s="431"/>
      <c r="Z4" s="451" t="s">
        <v>673</v>
      </c>
      <c r="AA4" s="427"/>
      <c r="AB4" s="7" t="s">
        <v>8</v>
      </c>
      <c r="AC4" s="8" t="str">
        <f>K52</f>
        <v>hoofdgist</v>
      </c>
      <c r="AD4" s="2"/>
      <c r="AR4" s="426"/>
      <c r="AS4" s="426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8" t="s">
        <v>589</v>
      </c>
      <c r="B5" s="25" t="s">
        <v>712</v>
      </c>
      <c r="C5" s="19"/>
      <c r="D5" s="74" t="s">
        <v>592</v>
      </c>
      <c r="E5" s="306" t="s">
        <v>17</v>
      </c>
      <c r="F5" s="22"/>
      <c r="G5" s="19" t="s">
        <v>593</v>
      </c>
      <c r="H5" s="20">
        <v>13.4</v>
      </c>
      <c r="I5" s="357">
        <f>VLOOKUP(HoofdGist,'Info-Tabellen'!$X:$AB,2,0)</f>
        <v>84</v>
      </c>
      <c r="J5" s="358">
        <f>SUM($D$8:$D$18)</f>
        <v>3.25</v>
      </c>
      <c r="K5" s="282">
        <f>IF(Eiwitrust="J",10,0)</f>
        <v>0</v>
      </c>
      <c r="L5" s="359">
        <f>(totplato-VSPrestextract)/(2.0665-0.010665*(totplato))</f>
        <v>6.860175544240972</v>
      </c>
      <c r="M5" s="23"/>
      <c r="R5" s="485" t="s">
        <v>694</v>
      </c>
      <c r="T5" s="465">
        <v>3</v>
      </c>
      <c r="U5" s="466">
        <v>248</v>
      </c>
      <c r="V5" s="467">
        <v>249</v>
      </c>
      <c r="W5" s="468">
        <v>114</v>
      </c>
      <c r="X5" s="469">
        <v>75</v>
      </c>
      <c r="Y5" s="431"/>
      <c r="Z5" s="456">
        <f>LOOKUP($Z$2,$T$2:$T$47,U2:U47)</f>
        <v>245</v>
      </c>
      <c r="AA5" s="427"/>
      <c r="AB5" s="529" t="e">
        <f>VLOOKUP(bottelgist,'Info-Tabellen'!$X:$AB,5,0)</f>
        <v>#N/A</v>
      </c>
      <c r="AC5" s="529"/>
      <c r="AD5" s="2"/>
      <c r="AR5" s="426"/>
      <c r="AS5" s="426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72">
        <v>13</v>
      </c>
      <c r="C6" s="262"/>
      <c r="D6" s="21"/>
      <c r="E6" s="22"/>
      <c r="F6" s="355" t="s">
        <v>653</v>
      </c>
      <c r="G6" s="356">
        <f>IF(mashfactor&lt;3.66,$G$2-((mashfactor)/1000)+0.00666,$G$2-((mashfactor)/20)+0.175)</f>
        <v>0.7250000000000001</v>
      </c>
      <c r="H6" s="395"/>
      <c r="I6" s="271">
        <f>IF(moutkilos=0,"",IF(Aardbier=1,moutkilos*1.6*($B$30-mouttemp)/(mashwater*4.18),moutkilos*1.6*($B$29-mouttemp)/(mashwater*4.18)))</f>
        <v>3.6776433061262788</v>
      </c>
      <c r="K6" s="303" t="s">
        <v>620</v>
      </c>
      <c r="L6" s="263"/>
      <c r="M6" s="264"/>
      <c r="N6" s="72"/>
      <c r="O6" s="279">
        <f>VLOOKUP(HoofdGist,'Info-Tabellen'!$X:$AB,3,0)</f>
        <v>107.5</v>
      </c>
      <c r="P6" s="391" t="s">
        <v>669</v>
      </c>
      <c r="R6" s="206" t="s">
        <v>693</v>
      </c>
      <c r="T6" s="465">
        <v>4</v>
      </c>
      <c r="U6" s="466">
        <v>248</v>
      </c>
      <c r="V6" s="467">
        <v>247</v>
      </c>
      <c r="W6" s="468">
        <v>83</v>
      </c>
      <c r="X6" s="469">
        <v>90</v>
      </c>
      <c r="Y6" s="431"/>
      <c r="Z6" s="444"/>
      <c r="AA6" s="427"/>
      <c r="AB6" s="273"/>
      <c r="AC6" s="274"/>
      <c r="AD6" s="2"/>
      <c r="AR6" s="426"/>
      <c r="AS6" s="426"/>
      <c r="AT6" s="421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668</v>
      </c>
      <c r="G7" s="27" t="s">
        <v>14</v>
      </c>
      <c r="H7" s="27" t="s">
        <v>15</v>
      </c>
      <c r="I7" s="289" t="s">
        <v>595</v>
      </c>
      <c r="J7" s="48">
        <f>SUM($E$8:$E$18)</f>
        <v>11.154365466477474</v>
      </c>
      <c r="K7" s="47">
        <f>IF(ISNUMBER($J$7),(0.0000152482628*J7*J7+0.0038422807854*J7+1.0000602058824)*1000,"")</f>
        <v>1044.8155968470155</v>
      </c>
      <c r="L7" s="305">
        <f>IF(ISNUMBER($J$7),0.0000005*R7*R7*R7-0.00042273*R7*R7+0.28198838*R7-3.97853928,"")</f>
        <v>11.44786469045116</v>
      </c>
      <c r="M7" s="280"/>
      <c r="N7" s="408" t="s">
        <v>601</v>
      </c>
      <c r="O7" s="413" t="s">
        <v>618</v>
      </c>
      <c r="P7" s="88" t="s">
        <v>664</v>
      </c>
      <c r="Q7" s="88" t="s">
        <v>668</v>
      </c>
      <c r="R7" s="483">
        <f>0.0010941210237*J7*J7*J7-0.0084685862875*J7*J7+4.0095424008421*J7+14.4773574022522</f>
        <v>59.66604646859339</v>
      </c>
      <c r="T7" s="465">
        <v>5</v>
      </c>
      <c r="U7" s="466">
        <v>245</v>
      </c>
      <c r="V7" s="467">
        <v>248</v>
      </c>
      <c r="W7" s="468">
        <v>48</v>
      </c>
      <c r="X7" s="469">
        <v>121</v>
      </c>
      <c r="Y7" s="431"/>
      <c r="Z7" s="452" t="s">
        <v>674</v>
      </c>
      <c r="AA7" s="427"/>
      <c r="AD7" s="2"/>
      <c r="AR7" s="426"/>
      <c r="AS7" s="426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118</v>
      </c>
      <c r="B8" s="369">
        <f>VLOOKUP(A8,'Info-Tabellen'!$H:$K,2,0)</f>
        <v>80.07</v>
      </c>
      <c r="C8" s="369">
        <f>VLOOKUP(A8,'Info-Tabellen'!$H:$J,3,0)</f>
        <v>3</v>
      </c>
      <c r="D8" s="31">
        <v>3.25</v>
      </c>
      <c r="E8" s="32">
        <f>IF(Gewenste_liters=0,"0",IF(D8=0,"  ",(B8*D8/(Gewenste_liters+hopverlies))*effic))</f>
        <v>11.154365466477474</v>
      </c>
      <c r="F8" s="33">
        <f aca="true" t="shared" si="0" ref="F8:F18">IF(Gewenste_liters=0,"0",IF(D8=0,"  ",1.8*(Q8)^0.69))</f>
        <v>4.596414644431555</v>
      </c>
      <c r="G8" s="275">
        <f aca="true" t="shared" si="1" ref="G8:G16">IF(D8="","  ",(D8*100/Totaalkg))</f>
        <v>76.47058823529412</v>
      </c>
      <c r="H8" s="276">
        <f aca="true" t="shared" si="2" ref="H8:H16">IF(E8="  ","  ",(E8*100/totplato))</f>
        <v>65.3577601540194</v>
      </c>
      <c r="I8" s="297">
        <f aca="true" t="shared" si="3" ref="I8:I23">IF(O8=0,"",E8-(E8*O8/100))</f>
        <v>1.728926647304009</v>
      </c>
      <c r="J8" s="521" t="s">
        <v>621</v>
      </c>
      <c r="K8" s="522"/>
      <c r="L8" s="522"/>
      <c r="M8" s="23"/>
      <c r="N8" s="409">
        <f>IF(D8=0,0,VLOOKUP(A8,'Info-Tabellen'!$H:$K,4,0))</f>
        <v>100</v>
      </c>
      <c r="O8" s="414">
        <f>IF(N8=0,0,(SVGopmout*N8/100)-ATNfactor-Aftrokmaische)</f>
        <v>84.5</v>
      </c>
      <c r="P8" s="378">
        <f>IF(C8=0,0,C8*0.3748+0.6)</f>
        <v>1.7244000000000002</v>
      </c>
      <c r="Q8" s="378">
        <f>C8*E8/8.6</f>
        <v>3.8910577208642354</v>
      </c>
      <c r="S8" s="483"/>
      <c r="T8" s="465">
        <v>6</v>
      </c>
      <c r="U8" s="466">
        <v>245</v>
      </c>
      <c r="V8" s="467">
        <v>244</v>
      </c>
      <c r="W8" s="468">
        <v>18</v>
      </c>
      <c r="X8" s="469">
        <v>137</v>
      </c>
      <c r="Y8" s="431"/>
      <c r="Z8" s="457">
        <f>LOOKUP($Z$2,$T$2:$T$47,V2:V47)</f>
        <v>248</v>
      </c>
      <c r="AA8" s="427"/>
      <c r="AB8" s="2"/>
      <c r="AC8" s="2"/>
      <c r="AD8" s="2"/>
      <c r="AR8" s="426"/>
      <c r="AS8" s="426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16</v>
      </c>
      <c r="B9" s="370">
        <f>VLOOKUP(A9,'Info-Tabellen'!$H:$J,2,0)</f>
        <v>0</v>
      </c>
      <c r="C9" s="370">
        <f>VLOOKUP(A9,'Info-Tabellen'!$H:$J,3,0)</f>
        <v>0</v>
      </c>
      <c r="D9" s="36"/>
      <c r="E9" s="37" t="str">
        <f aca="true" t="shared" si="4" ref="E9:E18">IF(Gewenste_liters=0,"0",IF(D9=0,"  ",(B9*D9/(Gewenste_liters+hopverlies))*effic))</f>
        <v>  </v>
      </c>
      <c r="F9" s="38" t="str">
        <f t="shared" si="0"/>
        <v>  </v>
      </c>
      <c r="G9" s="277" t="str">
        <f t="shared" si="1"/>
        <v>  </v>
      </c>
      <c r="H9" s="63" t="str">
        <f t="shared" si="2"/>
        <v>  </v>
      </c>
      <c r="I9" s="298">
        <f t="shared" si="3"/>
      </c>
      <c r="J9" s="523"/>
      <c r="K9" s="524"/>
      <c r="L9" s="524"/>
      <c r="M9" s="304"/>
      <c r="N9" s="410">
        <f>IF(D9=0,0,VLOOKUP(A9,'Info-Tabellen'!$H:$K,4,0))</f>
        <v>0</v>
      </c>
      <c r="O9" s="415">
        <f aca="true" t="shared" si="5" ref="O9:O18">IF(N9=0,0,(SVGopmout*N9/100)-ATNfactor)</f>
        <v>0</v>
      </c>
      <c r="P9" s="378">
        <f aca="true" t="shared" si="6" ref="P9:P24">IF(C9=0,0,C9*0.3748+0.6)</f>
        <v>0</v>
      </c>
      <c r="Q9" s="378" t="e">
        <f aca="true" t="shared" si="7" ref="Q9:Q18">C9*E9/8.6</f>
        <v>#VALUE!</v>
      </c>
      <c r="R9" s="378"/>
      <c r="S9" s="378"/>
      <c r="T9" s="465">
        <v>7</v>
      </c>
      <c r="U9" s="466">
        <v>238</v>
      </c>
      <c r="V9" s="467">
        <v>233</v>
      </c>
      <c r="W9" s="468">
        <v>22</v>
      </c>
      <c r="X9" s="469">
        <v>135</v>
      </c>
      <c r="Y9" s="431"/>
      <c r="Z9" s="444"/>
      <c r="AA9" s="427"/>
      <c r="AB9" s="39" t="s">
        <v>18</v>
      </c>
      <c r="AC9" s="40"/>
      <c r="AD9" s="2"/>
      <c r="AR9" s="426"/>
      <c r="AS9" s="426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69">
        <f>VLOOKUP(A10,'Info-Tabellen'!$H:$J,2,0)</f>
        <v>0</v>
      </c>
      <c r="C10" s="369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5" t="str">
        <f t="shared" si="1"/>
        <v>  </v>
      </c>
      <c r="H10" s="276" t="str">
        <f t="shared" si="2"/>
        <v>  </v>
      </c>
      <c r="I10" s="297">
        <f t="shared" si="3"/>
      </c>
      <c r="J10" s="48">
        <f>SUM($E$19:$E$22)</f>
        <v>5.912262031453234</v>
      </c>
      <c r="K10" s="47">
        <f>IF(ISNUMBER($J$7),(0.0000152482628*J10*J10+0.0038422807854*J10+1.0000602058824)*1000,"")</f>
        <v>1023.309777306061</v>
      </c>
      <c r="L10" s="49">
        <f>IF(ISNUMBER($J$10),$J$10,"")</f>
        <v>5.912262031453234</v>
      </c>
      <c r="M10" s="304"/>
      <c r="N10" s="409">
        <f>IF(D10=0,0,VLOOKUP(A10,'Info-Tabellen'!$H:$K,4,0))</f>
        <v>0</v>
      </c>
      <c r="O10" s="414">
        <f t="shared" si="5"/>
        <v>0</v>
      </c>
      <c r="P10" s="378">
        <f t="shared" si="6"/>
        <v>0</v>
      </c>
      <c r="Q10" s="378" t="e">
        <f t="shared" si="7"/>
        <v>#VALUE!</v>
      </c>
      <c r="R10" s="378"/>
      <c r="S10" s="378"/>
      <c r="T10" s="465">
        <v>8</v>
      </c>
      <c r="U10" s="466">
        <v>230</v>
      </c>
      <c r="V10" s="467">
        <v>225</v>
      </c>
      <c r="W10" s="468">
        <v>24</v>
      </c>
      <c r="X10" s="469">
        <v>160</v>
      </c>
      <c r="Y10" s="431"/>
      <c r="Z10" s="453" t="s">
        <v>675</v>
      </c>
      <c r="AA10" s="427"/>
      <c r="AB10" s="42" t="str">
        <f>hop1</f>
        <v>Styrian Golding (A)</v>
      </c>
      <c r="AC10" s="40"/>
      <c r="AD10" s="2"/>
      <c r="AR10" s="426"/>
      <c r="AS10" s="426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0">
        <f>VLOOKUP(A11,'Info-Tabellen'!$H:$J,2,0)</f>
        <v>0</v>
      </c>
      <c r="C11" s="370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8" t="str">
        <f t="shared" si="1"/>
        <v>  </v>
      </c>
      <c r="H11" s="63" t="str">
        <f t="shared" si="2"/>
        <v>  </v>
      </c>
      <c r="I11" s="298">
        <f t="shared" si="3"/>
      </c>
      <c r="K11" s="45" t="s">
        <v>19</v>
      </c>
      <c r="M11" s="23"/>
      <c r="N11" s="410">
        <f>IF(D11=0,0,VLOOKUP(A11,'Info-Tabellen'!$H:$K,4,0))</f>
        <v>0</v>
      </c>
      <c r="O11" s="415">
        <f t="shared" si="5"/>
        <v>0</v>
      </c>
      <c r="P11" s="378">
        <f t="shared" si="6"/>
        <v>0</v>
      </c>
      <c r="Q11" s="378" t="e">
        <f t="shared" si="7"/>
        <v>#VALUE!</v>
      </c>
      <c r="R11" s="378"/>
      <c r="S11" s="378"/>
      <c r="T11" s="465">
        <v>9</v>
      </c>
      <c r="U11" s="466">
        <v>229</v>
      </c>
      <c r="V11" s="467">
        <v>214</v>
      </c>
      <c r="W11" s="468">
        <v>30</v>
      </c>
      <c r="X11" s="469">
        <v>163</v>
      </c>
      <c r="Y11" s="431"/>
      <c r="Z11" s="458">
        <f>LOOKUP($Z$2,$T$2:$T$47,W2:W47)</f>
        <v>48</v>
      </c>
      <c r="AA11" s="427"/>
      <c r="AB11" s="518" t="str">
        <f>VLOOKUP(hop1,'Info-Tabellen'!$R:$V,3,0)</f>
        <v>Delicaat, iets pikant en grasachtig/bloemig. Zeer populair vanwege karakteristieke aroma en gemiddelde alpha waarden</v>
      </c>
      <c r="AC11" s="518"/>
      <c r="AD11" s="2"/>
      <c r="AR11" s="426"/>
      <c r="AS11" s="426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69">
        <f>VLOOKUP(A12,'Info-Tabellen'!$H:$J,2,0)</f>
        <v>0</v>
      </c>
      <c r="C12" s="369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5" t="str">
        <f t="shared" si="1"/>
        <v>  </v>
      </c>
      <c r="H12" s="276" t="str">
        <f t="shared" si="2"/>
        <v>  </v>
      </c>
      <c r="I12" s="297">
        <f t="shared" si="3"/>
      </c>
      <c r="J12" s="48">
        <f>IF(ISNUMBER(totplato),totplato,"")</f>
        <v>17.066627497930707</v>
      </c>
      <c r="K12" s="47">
        <f>IF(ISNUMBER($J$7),(0.0000152482628*J12*J12+0.0038422807854*J12+1.0000602058824)*1000,"")</f>
        <v>1070.0763388512619</v>
      </c>
      <c r="L12" s="49">
        <f>IF(ISNUMBER($J$12),$L$7+$L$10,"")</f>
        <v>17.360126721904393</v>
      </c>
      <c r="M12" s="23"/>
      <c r="N12" s="409">
        <f>IF(D12=0,0,VLOOKUP(A12,'Info-Tabellen'!$H:$K,4,0))</f>
        <v>0</v>
      </c>
      <c r="O12" s="414">
        <f t="shared" si="5"/>
        <v>0</v>
      </c>
      <c r="P12" s="378">
        <f t="shared" si="6"/>
        <v>0</v>
      </c>
      <c r="Q12" s="378" t="e">
        <f t="shared" si="7"/>
        <v>#VALUE!</v>
      </c>
      <c r="R12" s="483"/>
      <c r="S12" s="378"/>
      <c r="T12" s="465">
        <v>10</v>
      </c>
      <c r="U12" s="466">
        <v>224</v>
      </c>
      <c r="V12" s="467">
        <v>204</v>
      </c>
      <c r="W12" s="468">
        <v>32</v>
      </c>
      <c r="X12" s="469">
        <v>165</v>
      </c>
      <c r="Y12" s="431"/>
      <c r="Z12" s="444"/>
      <c r="AA12" s="427"/>
      <c r="AB12" s="518"/>
      <c r="AC12" s="518"/>
      <c r="AD12" s="2"/>
      <c r="AR12" s="426"/>
      <c r="AS12" s="426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0">
        <f>VLOOKUP(A13,'Info-Tabellen'!$H:$J,2,0)</f>
        <v>0</v>
      </c>
      <c r="C13" s="370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8" t="str">
        <f t="shared" si="1"/>
        <v>  </v>
      </c>
      <c r="H13" s="63" t="str">
        <f t="shared" si="2"/>
        <v>  </v>
      </c>
      <c r="I13" s="298">
        <f t="shared" si="3"/>
      </c>
      <c r="K13" s="45" t="s">
        <v>695</v>
      </c>
      <c r="M13" s="23"/>
      <c r="N13" s="410">
        <f>IF(D13=0,0,VLOOKUP(A13,'Info-Tabellen'!$H:$K,4,0))</f>
        <v>0</v>
      </c>
      <c r="O13" s="415">
        <f t="shared" si="5"/>
        <v>0</v>
      </c>
      <c r="P13" s="378">
        <f t="shared" si="6"/>
        <v>0</v>
      </c>
      <c r="Q13" s="378" t="e">
        <f t="shared" si="7"/>
        <v>#VALUE!</v>
      </c>
      <c r="R13" s="378"/>
      <c r="S13" s="378"/>
      <c r="T13" s="465">
        <v>11</v>
      </c>
      <c r="U13" s="466">
        <v>218</v>
      </c>
      <c r="V13" s="467">
        <v>196</v>
      </c>
      <c r="W13" s="468">
        <v>41</v>
      </c>
      <c r="X13" s="469">
        <v>168</v>
      </c>
      <c r="Y13" s="431"/>
      <c r="Z13" s="459" t="s">
        <v>676</v>
      </c>
      <c r="AA13" s="427"/>
      <c r="AB13" s="46"/>
      <c r="AC13" s="40"/>
      <c r="AD13" s="2"/>
      <c r="AR13" s="426"/>
      <c r="AS13" s="426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69">
        <f>VLOOKUP(A14,'Info-Tabellen'!$H:$J,2,0)</f>
        <v>0</v>
      </c>
      <c r="C14" s="369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5" t="str">
        <f t="shared" si="1"/>
        <v>  </v>
      </c>
      <c r="H14" s="276" t="str">
        <f t="shared" si="2"/>
        <v>  </v>
      </c>
      <c r="I14" s="297">
        <f t="shared" si="3"/>
      </c>
      <c r="J14" s="48">
        <f>voorsp_eindplato</f>
        <v>1.285506994945016</v>
      </c>
      <c r="K14" s="47">
        <f>voorsp_eindSG</f>
        <v>1005.0246828933717</v>
      </c>
      <c r="L14" s="49">
        <f>J14*1.03</f>
        <v>1.3240722047933664</v>
      </c>
      <c r="M14" s="23"/>
      <c r="N14" s="409">
        <f>IF(D14=0,0,VLOOKUP(A14,'Info-Tabellen'!$H:$K,4,0))</f>
        <v>0</v>
      </c>
      <c r="O14" s="414">
        <f t="shared" si="5"/>
        <v>0</v>
      </c>
      <c r="P14" s="378">
        <f t="shared" si="6"/>
        <v>0</v>
      </c>
      <c r="Q14" s="378" t="e">
        <f t="shared" si="7"/>
        <v>#VALUE!</v>
      </c>
      <c r="R14" s="378"/>
      <c r="S14" s="378"/>
      <c r="T14" s="465">
        <v>12</v>
      </c>
      <c r="U14" s="466">
        <v>212</v>
      </c>
      <c r="V14" s="467">
        <v>184</v>
      </c>
      <c r="W14" s="468">
        <v>39</v>
      </c>
      <c r="X14" s="469">
        <v>170</v>
      </c>
      <c r="Y14" s="431"/>
      <c r="Z14" s="450">
        <f>LOOKUP($Z$2,$T$2:$T$47,X2:X47)</f>
        <v>121</v>
      </c>
      <c r="AA14" s="427"/>
      <c r="AB14" s="42" t="str">
        <f>hop2</f>
        <v>Saaz CZ  (A)</v>
      </c>
      <c r="AC14" s="40"/>
      <c r="AD14" s="2"/>
      <c r="AR14" s="426"/>
      <c r="AS14" s="426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0">
        <f>VLOOKUP(A15,'Info-Tabellen'!$H:$J,2,0)</f>
        <v>0</v>
      </c>
      <c r="C15" s="370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8" t="str">
        <f t="shared" si="1"/>
        <v>  </v>
      </c>
      <c r="H15" s="63" t="str">
        <f t="shared" si="2"/>
        <v>  </v>
      </c>
      <c r="I15" s="298">
        <f t="shared" si="3"/>
      </c>
      <c r="J15" s="434">
        <f>SUM(I8:I18)</f>
        <v>1.728926647304009</v>
      </c>
      <c r="K15" s="433" t="s">
        <v>677</v>
      </c>
      <c r="L15" s="435">
        <f>SUM(I19:I23)</f>
        <v>-0.44341965235899305</v>
      </c>
      <c r="M15" s="23"/>
      <c r="N15" s="410">
        <f>IF(D15=0,0,VLOOKUP(A15,'Info-Tabellen'!$H:$K,4,0))</f>
        <v>0</v>
      </c>
      <c r="O15" s="415">
        <f t="shared" si="5"/>
        <v>0</v>
      </c>
      <c r="P15" s="378">
        <f t="shared" si="6"/>
        <v>0</v>
      </c>
      <c r="Q15" s="378" t="e">
        <f t="shared" si="7"/>
        <v>#VALUE!</v>
      </c>
      <c r="R15" s="378"/>
      <c r="S15" s="378"/>
      <c r="T15" s="465">
        <v>13</v>
      </c>
      <c r="U15" s="466">
        <v>208</v>
      </c>
      <c r="V15" s="467">
        <v>176</v>
      </c>
      <c r="W15" s="468">
        <v>46</v>
      </c>
      <c r="X15" s="469">
        <v>173</v>
      </c>
      <c r="Y15" s="431"/>
      <c r="Z15" s="445"/>
      <c r="AA15" s="427"/>
      <c r="AB15" s="518" t="str">
        <f>VLOOKUP(hop2,'Info-Tabellen'!$R:$V,3,0)</f>
        <v>Koning van de pilshop. De enige hop die gebruikt wordt in het oorspronkelijke pils ter wereld: Pilsner Urquell. </v>
      </c>
      <c r="AC15" s="518"/>
      <c r="AD15" s="2"/>
      <c r="AR15" s="426"/>
      <c r="AS15" s="426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69">
        <f>VLOOKUP(A16,'Info-Tabellen'!$H:$J,2,0)</f>
        <v>0</v>
      </c>
      <c r="C16" s="369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5" t="str">
        <f t="shared" si="1"/>
        <v>  </v>
      </c>
      <c r="H16" s="276" t="str">
        <f t="shared" si="2"/>
        <v>  </v>
      </c>
      <c r="I16" s="309">
        <f t="shared" si="3"/>
      </c>
      <c r="J16" s="525" t="s">
        <v>79</v>
      </c>
      <c r="K16" s="526"/>
      <c r="L16" s="526"/>
      <c r="M16" s="23"/>
      <c r="N16" s="409">
        <f>IF(D16=0,0,VLOOKUP(A16,'Info-Tabellen'!$H:$K,4,0))</f>
        <v>0</v>
      </c>
      <c r="O16" s="414">
        <f t="shared" si="5"/>
        <v>0</v>
      </c>
      <c r="P16" s="378">
        <f t="shared" si="6"/>
        <v>0</v>
      </c>
      <c r="Q16" s="378" t="e">
        <f t="shared" si="7"/>
        <v>#VALUE!</v>
      </c>
      <c r="R16" s="378"/>
      <c r="S16" s="378"/>
      <c r="T16" s="465">
        <v>14</v>
      </c>
      <c r="U16" s="466">
        <v>202</v>
      </c>
      <c r="V16" s="467">
        <v>167</v>
      </c>
      <c r="W16" s="468">
        <v>52</v>
      </c>
      <c r="X16" s="469">
        <v>175</v>
      </c>
      <c r="Y16" s="431"/>
      <c r="Z16" s="475" t="s">
        <v>682</v>
      </c>
      <c r="AA16" s="427"/>
      <c r="AB16" s="518"/>
      <c r="AC16" s="518"/>
      <c r="AD16" s="2"/>
      <c r="AR16" s="426"/>
      <c r="AS16" s="426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0">
        <f>VLOOKUP(A17,'Info-Tabellen'!$H:$J,2,0)</f>
        <v>0</v>
      </c>
      <c r="C17" s="370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8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8">
        <f t="shared" si="3"/>
      </c>
      <c r="J17" s="308">
        <f>totplato/2.7*Gewenste_liters/100</f>
        <v>0.9481459721072614</v>
      </c>
      <c r="K17" s="307" t="s">
        <v>625</v>
      </c>
      <c r="L17" s="205">
        <f>(INT(160*Starter/10))*10</f>
        <v>150</v>
      </c>
      <c r="M17" s="23"/>
      <c r="N17" s="410">
        <f>IF(D17=0,0,VLOOKUP(A17,'Info-Tabellen'!$H:$K,4,0))</f>
        <v>0</v>
      </c>
      <c r="O17" s="415">
        <f t="shared" si="5"/>
        <v>0</v>
      </c>
      <c r="P17" s="378">
        <f t="shared" si="6"/>
        <v>0</v>
      </c>
      <c r="Q17" s="378" t="e">
        <f t="shared" si="7"/>
        <v>#VALUE!</v>
      </c>
      <c r="R17" s="378"/>
      <c r="S17" s="378"/>
      <c r="T17" s="465">
        <v>15</v>
      </c>
      <c r="U17" s="466">
        <v>194</v>
      </c>
      <c r="V17" s="467">
        <v>156</v>
      </c>
      <c r="W17" s="468">
        <v>54</v>
      </c>
      <c r="X17" s="469">
        <v>178</v>
      </c>
      <c r="Y17" s="431"/>
      <c r="Z17" s="476" t="e">
        <f>SetRGB(Z5,Z8,Z11,Z14)</f>
        <v>#VALUE!</v>
      </c>
      <c r="AA17" s="427"/>
      <c r="AB17" s="40"/>
      <c r="AC17" s="40"/>
      <c r="AD17" s="2"/>
      <c r="AR17" s="426"/>
      <c r="AS17" s="426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69">
        <f>VLOOKUP(A18,'Info-Tabellen'!$H:$J,2,0)</f>
        <v>0</v>
      </c>
      <c r="C18" s="369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5" t="str">
        <f t="shared" si="8"/>
        <v>  </v>
      </c>
      <c r="H18" s="276" t="str">
        <f t="shared" si="9"/>
        <v>  </v>
      </c>
      <c r="I18" s="297">
        <f t="shared" si="3"/>
      </c>
      <c r="J18" s="311">
        <f>INT(Starter*totplato/4)</f>
        <v>4</v>
      </c>
      <c r="K18" s="310" t="s">
        <v>88</v>
      </c>
      <c r="L18" s="312"/>
      <c r="M18" s="23"/>
      <c r="N18" s="409">
        <f>IF(D18=0,0,VLOOKUP(A18,'Info-Tabellen'!$H:$K,4,0))</f>
        <v>0</v>
      </c>
      <c r="O18" s="414">
        <f t="shared" si="5"/>
        <v>0</v>
      </c>
      <c r="P18" s="378">
        <f t="shared" si="6"/>
        <v>0</v>
      </c>
      <c r="Q18" s="378" t="e">
        <f t="shared" si="7"/>
        <v>#VALUE!</v>
      </c>
      <c r="R18" s="378"/>
      <c r="S18" s="378"/>
      <c r="T18" s="465">
        <v>16</v>
      </c>
      <c r="U18" s="466">
        <v>190</v>
      </c>
      <c r="V18" s="467">
        <v>147</v>
      </c>
      <c r="W18" s="468">
        <v>57</v>
      </c>
      <c r="X18" s="469">
        <v>180</v>
      </c>
      <c r="Y18" s="431"/>
      <c r="Z18" s="444"/>
      <c r="AA18" s="427"/>
      <c r="AB18" s="42" t="str">
        <f>hop3</f>
        <v>Styrian Golding (A)</v>
      </c>
      <c r="AC18" s="40"/>
      <c r="AD18" s="2"/>
      <c r="AR18" s="426"/>
      <c r="AS18" s="426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70</v>
      </c>
      <c r="B19" s="371">
        <f>VLOOKUP(A19,'Info-Tabellen'!$M:$O,2,0)</f>
        <v>100</v>
      </c>
      <c r="C19" s="371">
        <f>VLOOKUP(A19,'Info-Tabellen'!$M:$O,3,0)</f>
        <v>0.004500101328458176</v>
      </c>
      <c r="D19" s="52">
        <v>1</v>
      </c>
      <c r="E19" s="53">
        <f>IF(Gewenste_liters=0,"0",IF(D19=0,"  ",(B19*D19/(Gewenste_liters+hopverlies))))</f>
        <v>5.912262031453234</v>
      </c>
      <c r="F19" s="54">
        <f>IF(Gewenste_liters=0,"0",IF(D19=0,"  ",B19*D19/100/Gewenste_liters*C19))</f>
        <v>0.00030000675523054505</v>
      </c>
      <c r="G19" s="55">
        <f t="shared" si="8"/>
        <v>23.529411764705884</v>
      </c>
      <c r="H19" s="55">
        <f t="shared" si="9"/>
        <v>34.642239845980605</v>
      </c>
      <c r="I19" s="299">
        <f t="shared" si="3"/>
        <v>-0.44341965235899305</v>
      </c>
      <c r="J19" s="313" t="s">
        <v>622</v>
      </c>
      <c r="K19" s="207">
        <f>Starter*1.05</f>
        <v>0.9955532707126244</v>
      </c>
      <c r="L19" s="312" t="s">
        <v>623</v>
      </c>
      <c r="M19" s="23"/>
      <c r="N19" s="411">
        <f>IF(D19=0,0,VLOOKUP(A19,'Info-Tabellen'!$M:$P,4,0))</f>
        <v>100</v>
      </c>
      <c r="O19" s="416">
        <f>IF(N19=0,0,(SVGopsuiker*N19/100))</f>
        <v>107.5</v>
      </c>
      <c r="P19" s="378">
        <f t="shared" si="6"/>
        <v>0.6016866379779061</v>
      </c>
      <c r="Q19" s="378"/>
      <c r="R19" s="378"/>
      <c r="S19" s="378"/>
      <c r="T19" s="465">
        <v>17</v>
      </c>
      <c r="U19" s="466">
        <v>193</v>
      </c>
      <c r="V19" s="467">
        <v>145</v>
      </c>
      <c r="W19" s="468">
        <v>59</v>
      </c>
      <c r="X19" s="469">
        <v>201</v>
      </c>
      <c r="Y19" s="431"/>
      <c r="Z19" s="444"/>
      <c r="AA19" s="427"/>
      <c r="AB19" s="518" t="str">
        <f>VLOOKUP(hop3,'Info-Tabellen'!$R:$V,3,0)</f>
        <v>Delicaat, iets pikant en grasachtig/bloemig. Zeer populair vanwege karakteristieke aroma en gemiddelde alpha waarden</v>
      </c>
      <c r="AC19" s="518"/>
      <c r="AD19" s="2"/>
      <c r="AR19" s="426"/>
      <c r="AS19" s="426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20</v>
      </c>
      <c r="B20" s="372">
        <f>VLOOKUP(A20,'Info-Tabellen'!$M:$O,2,0)</f>
        <v>0</v>
      </c>
      <c r="C20" s="372">
        <f>VLOOKUP(A20,'Info-Tabellen'!$M:$O,3,0)</f>
        <v>0</v>
      </c>
      <c r="D20" s="241"/>
      <c r="E20" s="243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0">
        <f t="shared" si="3"/>
      </c>
      <c r="J20" s="533" t="s">
        <v>624</v>
      </c>
      <c r="K20" s="534"/>
      <c r="L20" s="208">
        <f>Gewenste_liters/21*totplato</f>
        <v>12.190448212807649</v>
      </c>
      <c r="M20" s="23"/>
      <c r="N20" s="412">
        <f>IF(D20=0,0,VLOOKUP(A20,'Info-Tabellen'!$M:$P,4,0))</f>
        <v>0</v>
      </c>
      <c r="O20" s="417">
        <f>IF(N20=0,0,(SVGopsuiker*N20/100))</f>
        <v>0</v>
      </c>
      <c r="P20" s="378">
        <f t="shared" si="6"/>
        <v>0</v>
      </c>
      <c r="Q20" s="378"/>
      <c r="R20" s="378"/>
      <c r="S20" s="378"/>
      <c r="T20" s="465">
        <v>18</v>
      </c>
      <c r="U20" s="466">
        <v>192</v>
      </c>
      <c r="V20" s="467">
        <v>140</v>
      </c>
      <c r="W20" s="468">
        <v>61</v>
      </c>
      <c r="X20" s="469">
        <v>202</v>
      </c>
      <c r="Y20" s="431"/>
      <c r="Z20" s="444"/>
      <c r="AA20" s="427"/>
      <c r="AB20" s="518"/>
      <c r="AC20" s="518"/>
      <c r="AD20" s="2"/>
      <c r="AR20" s="426"/>
      <c r="AS20" s="426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20</v>
      </c>
      <c r="B21" s="240">
        <f>VLOOKUP(A21,'Info-Tabellen'!$M:$O,2,0)</f>
        <v>0</v>
      </c>
      <c r="C21" s="240">
        <f>VLOOKUP(A21,'Info-Tabellen'!$M:$O,3,0)</f>
        <v>0</v>
      </c>
      <c r="D21" s="242"/>
      <c r="E21" s="244" t="str">
        <f>IF(Gewenste_liters=0,"0",IF(D21=0,"  ",(B21*D21/(Gewenste_liters+hopverlies))))</f>
        <v>  </v>
      </c>
      <c r="F21" s="240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8">
        <f t="shared" si="3"/>
      </c>
      <c r="K21" s="314" t="s">
        <v>626</v>
      </c>
      <c r="M21" s="23"/>
      <c r="N21" s="410">
        <f>IF(D21=0,0,VLOOKUP(A21,'Info-Tabellen'!$M:$P,4,0))</f>
        <v>0</v>
      </c>
      <c r="O21" s="415">
        <f>IF(N21=0,0,(SVGopsuiker*N21/100))</f>
        <v>0</v>
      </c>
      <c r="P21" s="378">
        <f t="shared" si="6"/>
        <v>0</v>
      </c>
      <c r="Q21" s="378"/>
      <c r="R21" s="378"/>
      <c r="S21" s="378"/>
      <c r="T21" s="465">
        <v>19</v>
      </c>
      <c r="U21" s="466">
        <v>191</v>
      </c>
      <c r="V21" s="467">
        <v>135</v>
      </c>
      <c r="W21" s="468">
        <v>59</v>
      </c>
      <c r="X21" s="469">
        <v>204</v>
      </c>
      <c r="Y21" s="431"/>
      <c r="Z21" s="444"/>
      <c r="AA21" s="427"/>
      <c r="AB21" s="40"/>
      <c r="AC21" s="40"/>
      <c r="AD21" s="2"/>
      <c r="AR21" s="426"/>
      <c r="AS21" s="426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20</v>
      </c>
      <c r="B22" s="372">
        <f>VLOOKUP(A22,'Info-Tabellen'!$M:$O,2,0)</f>
        <v>0</v>
      </c>
      <c r="C22" s="372">
        <f>VLOOKUP(A22,'Info-Tabellen'!$M:$O,3,0)</f>
        <v>0</v>
      </c>
      <c r="D22" s="241"/>
      <c r="E22" s="243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0">
        <f t="shared" si="3"/>
      </c>
      <c r="J22" s="88" t="s">
        <v>26</v>
      </c>
      <c r="K22" s="87">
        <f>($L$27+verlieswater)</f>
        <v>19.29326298559053</v>
      </c>
      <c r="L22" s="87">
        <f>$K$22*1.04</f>
        <v>20.06499350501415</v>
      </c>
      <c r="M22" s="23"/>
      <c r="N22" s="412">
        <f>IF(D22=0,0,VLOOKUP(A22,'Info-Tabellen'!$M:$P,4,0))</f>
        <v>0</v>
      </c>
      <c r="O22" s="417">
        <f>IF(N22=0,0,(SVGopsuiker*N22/100))</f>
        <v>0</v>
      </c>
      <c r="P22" s="378">
        <f t="shared" si="6"/>
        <v>0</v>
      </c>
      <c r="Q22" s="378"/>
      <c r="R22" s="378"/>
      <c r="S22" s="378"/>
      <c r="T22" s="465">
        <v>20</v>
      </c>
      <c r="U22" s="466">
        <v>191</v>
      </c>
      <c r="V22" s="467">
        <v>130</v>
      </c>
      <c r="W22" s="468">
        <v>58</v>
      </c>
      <c r="X22" s="469">
        <v>205</v>
      </c>
      <c r="Y22" s="431"/>
      <c r="Z22" s="444"/>
      <c r="AA22" s="427"/>
      <c r="AB22" s="42" t="str">
        <f>hop4</f>
        <v>Saaz CZ  (A)</v>
      </c>
      <c r="AC22" s="40"/>
      <c r="AD22" s="2"/>
      <c r="AR22" s="426"/>
      <c r="AS22" s="426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20</v>
      </c>
      <c r="B23" s="240">
        <f>VLOOKUP(A23,'Info-Tabellen'!$M:$O,2,0)</f>
        <v>0</v>
      </c>
      <c r="C23" s="240">
        <f>VLOOKUP(A23,'Info-Tabellen'!$M:$O,3,0)</f>
        <v>0</v>
      </c>
      <c r="D23" s="245"/>
      <c r="E23" s="290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1">
        <f t="shared" si="3"/>
      </c>
      <c r="K23" s="314" t="s">
        <v>627</v>
      </c>
      <c r="M23" s="23"/>
      <c r="N23" s="410">
        <f>IF(D23=0,0,VLOOKUP(A23,'Info-Tabellen'!$M:$P,4,0))</f>
        <v>0</v>
      </c>
      <c r="O23" s="415">
        <f>IF(N23=0,0,(SVGopsuiker*N23/100))</f>
        <v>0</v>
      </c>
      <c r="P23" s="378">
        <f t="shared" si="6"/>
        <v>0</v>
      </c>
      <c r="Q23" s="378"/>
      <c r="R23" s="378"/>
      <c r="S23" s="378"/>
      <c r="T23" s="465">
        <v>21</v>
      </c>
      <c r="U23" s="466">
        <v>191</v>
      </c>
      <c r="V23" s="467">
        <v>127</v>
      </c>
      <c r="W23" s="468">
        <v>56</v>
      </c>
      <c r="X23" s="469">
        <v>206</v>
      </c>
      <c r="Y23" s="431"/>
      <c r="Z23" s="444"/>
      <c r="AA23" s="427"/>
      <c r="AB23" s="518" t="str">
        <f>VLOOKUP(hop4,'Info-Tabellen'!$R:$V,3,0)</f>
        <v>Koning van de pilshop. De enige hop die gebruikt wordt in het oorspronkelijke pils ter wereld: Pilsner Urquell. </v>
      </c>
      <c r="AC23" s="518"/>
      <c r="AD23" s="2"/>
      <c r="AR23" s="426"/>
      <c r="AS23" s="426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8" t="s">
        <v>651</v>
      </c>
      <c r="B24" s="373">
        <v>100</v>
      </c>
      <c r="C24" s="66">
        <v>9000</v>
      </c>
      <c r="D24" s="347"/>
      <c r="E24" s="261" t="s">
        <v>582</v>
      </c>
      <c r="F24" s="67" t="str">
        <f>IF(Gewenste_liters=0,"0",IF(D24=0,"  ",D24/Gewenste_liters*C24/1000))</f>
        <v>  </v>
      </c>
      <c r="G24" s="384" t="str">
        <f>IF(D24="","  ",(D24*0.1/Totaalkg))</f>
        <v>  </v>
      </c>
      <c r="H24" s="68"/>
      <c r="I24" s="302"/>
      <c r="J24" s="316">
        <f>0.1808*totplato+0.8192*voorsp_eindplato</f>
        <v>4.1387335818848285</v>
      </c>
      <c r="K24" s="317">
        <f>IF($L$10=0,1.035,$L$12/$J$12)</f>
        <v>1.0171972596231607</v>
      </c>
      <c r="L24" s="385">
        <f>IF((Gewenste_liters+(1.7*moutkilos)*1.2)&lt;mashwater,mashwater+verkookwater,($K$22*1.18)+(moutkilos*0.75))</f>
        <v>25.203550322996826</v>
      </c>
      <c r="M24" s="23"/>
      <c r="N24" s="412">
        <v>0</v>
      </c>
      <c r="O24" s="417">
        <v>0</v>
      </c>
      <c r="P24" s="378">
        <f t="shared" si="6"/>
        <v>3373.8</v>
      </c>
      <c r="Q24" s="378"/>
      <c r="R24" s="378"/>
      <c r="S24" s="378"/>
      <c r="T24" s="465">
        <v>22</v>
      </c>
      <c r="U24" s="466">
        <v>193</v>
      </c>
      <c r="V24" s="467">
        <v>120</v>
      </c>
      <c r="W24" s="468">
        <v>56</v>
      </c>
      <c r="X24" s="469">
        <v>208</v>
      </c>
      <c r="Y24" s="431"/>
      <c r="Z24" s="444"/>
      <c r="AA24" s="427"/>
      <c r="AB24" s="518"/>
      <c r="AC24" s="518"/>
      <c r="AD24" s="2"/>
      <c r="AR24" s="426"/>
      <c r="AS24" s="426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6" t="s">
        <v>670</v>
      </c>
      <c r="B25" s="5"/>
      <c r="C25" s="69" t="s">
        <v>22</v>
      </c>
      <c r="D25" s="70">
        <f>SUM(D8:D23)</f>
        <v>4.25</v>
      </c>
      <c r="E25" s="71">
        <f>SUM(E8:E24)</f>
        <v>17.066627497930707</v>
      </c>
      <c r="F25" s="443">
        <f>SUM(F8:F24)</f>
        <v>4.596714651186785</v>
      </c>
      <c r="G25" s="392" t="s">
        <v>665</v>
      </c>
      <c r="H25" s="281"/>
      <c r="I25" s="344">
        <f>SUM(I8:I23)</f>
        <v>1.285506994945016</v>
      </c>
      <c r="J25" s="487" t="s">
        <v>697</v>
      </c>
      <c r="K25" s="387"/>
      <c r="L25" s="388"/>
      <c r="M25" s="23"/>
      <c r="N25" s="292"/>
      <c r="O25" s="292"/>
      <c r="P25" s="382"/>
      <c r="Q25" s="382"/>
      <c r="R25" s="382"/>
      <c r="S25" s="382"/>
      <c r="T25" s="465">
        <v>23</v>
      </c>
      <c r="U25" s="466">
        <v>190</v>
      </c>
      <c r="V25" s="467">
        <v>116</v>
      </c>
      <c r="W25" s="468">
        <v>57</v>
      </c>
      <c r="X25" s="469">
        <v>209</v>
      </c>
      <c r="Y25" s="431"/>
      <c r="Z25" s="444"/>
      <c r="AA25" s="427"/>
      <c r="AB25" s="40"/>
      <c r="AC25" s="40"/>
      <c r="AD25" s="2"/>
      <c r="AR25" s="426"/>
      <c r="AS25" s="426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4:58" ht="12" customHeight="1">
      <c r="D26" s="488" t="s">
        <v>698</v>
      </c>
      <c r="E26" s="394">
        <f>StamwortSG</f>
        <v>1070.0763388512619</v>
      </c>
      <c r="F26" s="443">
        <f>IF(kleur=0,0,IF(kleur&lt;2,kleur,kleur+(1.22*Kooktijd/60)))</f>
        <v>5.816714651186785</v>
      </c>
      <c r="G26" s="393" t="s">
        <v>666</v>
      </c>
      <c r="H26" s="383"/>
      <c r="I26" s="345">
        <f>IF(voorsp_eindplato=0,1000,(0.0000152482628*voorsp_eindplato*voorsp_eindplato+0.0038422807854*voorsp_eindplato+1.0000602058824)*1000)</f>
        <v>1005.0246828933717</v>
      </c>
      <c r="J26" s="487" t="s">
        <v>696</v>
      </c>
      <c r="K26" s="387"/>
      <c r="L26" s="388"/>
      <c r="M26" s="23"/>
      <c r="N26" s="291"/>
      <c r="O26" s="291"/>
      <c r="P26" s="382"/>
      <c r="Q26" s="382"/>
      <c r="R26" s="382"/>
      <c r="S26" s="382"/>
      <c r="T26" s="465">
        <v>24</v>
      </c>
      <c r="U26" s="466">
        <v>188</v>
      </c>
      <c r="V26" s="467">
        <v>112</v>
      </c>
      <c r="W26" s="468">
        <v>57</v>
      </c>
      <c r="X26" s="469">
        <v>225</v>
      </c>
      <c r="Y26" s="431"/>
      <c r="Z26" s="444"/>
      <c r="AA26" s="427"/>
      <c r="AB26" s="42" t="str">
        <f>hop5</f>
        <v> - - Kies hop - -</v>
      </c>
      <c r="AC26" s="40"/>
      <c r="AD26" s="2"/>
      <c r="AR26" s="426"/>
      <c r="AS26" s="426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3" t="s">
        <v>21</v>
      </c>
      <c r="G27" s="180" t="s">
        <v>699</v>
      </c>
      <c r="H27" s="342">
        <f>IF((totplato-VSPrestextract)/(2.0665-0.010665*totplato)=0,0,voorsp_eindSG/1000*VSPalcogewicht/0.794/100)</f>
        <v>0.08683432935697288</v>
      </c>
      <c r="I27" s="346" t="s">
        <v>628</v>
      </c>
      <c r="J27" s="328"/>
      <c r="K27" s="133" t="s">
        <v>633</v>
      </c>
      <c r="L27" s="386">
        <f>Gewenste_liters*(1+VSPalcvol/4)</f>
        <v>15.32562873508865</v>
      </c>
      <c r="M27" s="23"/>
      <c r="P27" s="374"/>
      <c r="Q27" s="374"/>
      <c r="R27" s="374"/>
      <c r="S27" s="374"/>
      <c r="T27" s="465">
        <v>25</v>
      </c>
      <c r="U27" s="466">
        <v>186</v>
      </c>
      <c r="V27" s="467">
        <v>106</v>
      </c>
      <c r="W27" s="468">
        <v>50</v>
      </c>
      <c r="X27" s="469">
        <v>225</v>
      </c>
      <c r="Y27" s="431"/>
      <c r="Z27" s="444"/>
      <c r="AA27" s="427"/>
      <c r="AB27" s="518">
        <f>VLOOKUP(hop5,'Info-Tabellen'!$R:$V,3,0)</f>
        <v>0</v>
      </c>
      <c r="AC27" s="518"/>
      <c r="AD27" s="2"/>
      <c r="AR27" s="426"/>
      <c r="AS27" s="426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23</v>
      </c>
      <c r="B28" s="76">
        <f>moutkilos*mashfactor*1.02</f>
        <v>16.575</v>
      </c>
      <c r="C28" s="77" t="s">
        <v>24</v>
      </c>
      <c r="D28" s="333">
        <f>IF(moutkilos=0,55,IF(Aardbier=1,($B$30+tempverlies)*ketelinvloed/100,($B$29+tempverlies)*ketelinvloed/100))</f>
        <v>65.34925508959566</v>
      </c>
      <c r="E28" s="531" t="s">
        <v>679</v>
      </c>
      <c r="F28" s="532"/>
      <c r="G28" s="437"/>
      <c r="H28" s="23"/>
      <c r="I28" s="398" t="s">
        <v>678</v>
      </c>
      <c r="J28" s="61" t="s">
        <v>634</v>
      </c>
      <c r="M28" s="23"/>
      <c r="T28" s="465">
        <v>26</v>
      </c>
      <c r="U28" s="466">
        <v>186</v>
      </c>
      <c r="V28" s="467">
        <v>101</v>
      </c>
      <c r="W28" s="468">
        <v>51</v>
      </c>
      <c r="X28" s="469">
        <v>226</v>
      </c>
      <c r="Y28" s="431"/>
      <c r="Z28" s="444"/>
      <c r="AA28" s="427"/>
      <c r="AB28" s="518"/>
      <c r="AC28" s="518"/>
      <c r="AD28" s="2"/>
      <c r="AR28" s="426"/>
      <c r="AS28" s="426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Geen eiwitrust, direct naar </v>
      </c>
      <c r="B29" s="79">
        <f>IF(Aardbier=1,"      er is",IF(Eiwitrust="J",54,$B$30))</f>
        <v>62</v>
      </c>
      <c r="C29" s="80">
        <f>IF(Aardbier=1,"dus geen ",IF(Eiwitrust="J","± 2° C",""))</f>
      </c>
      <c r="D29" s="81">
        <f>IF(Aardbier=1,"eiwitrust   ",IF(Eiwitrust="J",K5,""))</f>
      </c>
      <c r="E29" s="438"/>
      <c r="F29" s="439"/>
      <c r="G29" s="494" t="s">
        <v>713</v>
      </c>
      <c r="H29" s="495"/>
      <c r="I29" s="496"/>
      <c r="L29" s="144" t="s">
        <v>681</v>
      </c>
      <c r="M29" s="23"/>
      <c r="N29" s="293"/>
      <c r="O29" s="293"/>
      <c r="P29" s="379"/>
      <c r="Q29" s="379"/>
      <c r="R29" s="379"/>
      <c r="S29" s="379"/>
      <c r="T29" s="465">
        <v>27</v>
      </c>
      <c r="U29" s="466">
        <v>181</v>
      </c>
      <c r="V29" s="467">
        <v>100</v>
      </c>
      <c r="W29" s="468">
        <v>53</v>
      </c>
      <c r="X29" s="469">
        <v>227</v>
      </c>
      <c r="Y29" s="431"/>
      <c r="Z29" s="444"/>
      <c r="AA29" s="427"/>
      <c r="AB29" s="40"/>
      <c r="AC29" s="40"/>
      <c r="AD29" s="2"/>
      <c r="AR29" s="426"/>
      <c r="AS29" s="426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β amylase (maltose)</v>
      </c>
      <c r="B30" s="83">
        <f>IF(Aardbier=1,66,IF(Aardbier="D",62,63))</f>
        <v>62</v>
      </c>
      <c r="C30" s="84" t="str">
        <f>IF(Aardbier=1,"± 1,5°C",IF(Aardbier="D","± 1,5°C","± 2°C"))</f>
        <v>± 1,5°C</v>
      </c>
      <c r="D30" s="85">
        <f>IF(Aardbier=1,90,IF(Aardbier="Z",25-($K$5/2),45-($K$5/2)))</f>
        <v>45</v>
      </c>
      <c r="E30" s="440"/>
      <c r="F30" s="441"/>
      <c r="G30" s="497"/>
      <c r="H30" s="495"/>
      <c r="I30" s="496"/>
      <c r="J30" s="331" t="s">
        <v>635</v>
      </c>
      <c r="K30" s="133"/>
      <c r="L30" s="249">
        <f>IF(moutkilos=0,"",moutkilos+mashwater)</f>
        <v>19.825</v>
      </c>
      <c r="M30" s="23"/>
      <c r="N30" s="294"/>
      <c r="O30" s="294"/>
      <c r="P30" s="380"/>
      <c r="Q30" s="380"/>
      <c r="R30" s="380"/>
      <c r="S30" s="380"/>
      <c r="T30" s="465">
        <v>28</v>
      </c>
      <c r="U30" s="466">
        <v>177</v>
      </c>
      <c r="V30" s="467">
        <v>96</v>
      </c>
      <c r="W30" s="468">
        <v>55</v>
      </c>
      <c r="X30" s="469">
        <v>227</v>
      </c>
      <c r="Y30" s="431"/>
      <c r="Z30" s="444"/>
      <c r="AA30" s="427"/>
      <c r="AB30" s="42" t="str">
        <f>hop6</f>
        <v> - - Kies hop - -</v>
      </c>
      <c r="AC30" s="40"/>
      <c r="AD30" s="2"/>
      <c r="AR30" s="426"/>
      <c r="AS30" s="426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 t="str">
        <f>IF(Aardbier="D","Gemengde amylase ",IF(Aardbier="Z","Ga snel naar volgende stap",""))</f>
        <v>Gemengde amylase </v>
      </c>
      <c r="B31" s="86" t="str">
        <f>IF(Aardbier="D","66,5","")</f>
        <v>66,5</v>
      </c>
      <c r="C31" s="86" t="str">
        <f>IF(Aardbier="D","± 1,5°C","")</f>
        <v>± 1,5°C</v>
      </c>
      <c r="D31" s="81">
        <f>IF(Aardbier="D",15,"")</f>
        <v>15</v>
      </c>
      <c r="E31" s="440"/>
      <c r="F31" s="441"/>
      <c r="G31" s="498"/>
      <c r="H31" s="495"/>
      <c r="I31" s="496"/>
      <c r="J31" s="329" t="s">
        <v>649</v>
      </c>
      <c r="M31" s="23"/>
      <c r="N31" s="295"/>
      <c r="O31" s="295"/>
      <c r="P31" s="295"/>
      <c r="Q31" s="295"/>
      <c r="R31" s="295"/>
      <c r="S31" s="295"/>
      <c r="T31" s="465">
        <v>29</v>
      </c>
      <c r="U31" s="466">
        <v>168</v>
      </c>
      <c r="V31" s="467">
        <v>92</v>
      </c>
      <c r="W31" s="468">
        <v>55</v>
      </c>
      <c r="X31" s="469">
        <v>227</v>
      </c>
      <c r="Y31" s="431"/>
      <c r="Z31" s="444"/>
      <c r="AA31" s="427"/>
      <c r="AB31" s="518">
        <f>VLOOKUP(hop6,'Info-Tabellen'!$R:$V,3,0)</f>
        <v>0</v>
      </c>
      <c r="AC31" s="518"/>
      <c r="AD31" s="2"/>
      <c r="AR31" s="426"/>
      <c r="AS31" s="426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1,5°C</v>
      </c>
      <c r="D32" s="442">
        <f>IF(Aardbier=1,"",IF(Aardbier="Z",30,20))</f>
        <v>20</v>
      </c>
      <c r="G32" s="499"/>
      <c r="H32" s="495"/>
      <c r="I32" s="496"/>
      <c r="J32" s="330" t="s">
        <v>636</v>
      </c>
      <c r="K32" s="97"/>
      <c r="L32" s="144" t="s">
        <v>650</v>
      </c>
      <c r="M32" s="332"/>
      <c r="T32" s="465">
        <v>30</v>
      </c>
      <c r="U32" s="466">
        <v>165</v>
      </c>
      <c r="V32" s="467">
        <v>88</v>
      </c>
      <c r="W32" s="468">
        <v>54</v>
      </c>
      <c r="X32" s="469">
        <v>228</v>
      </c>
      <c r="Y32" s="431"/>
      <c r="Z32" s="444"/>
      <c r="AA32" s="427"/>
      <c r="AB32" s="518"/>
      <c r="AC32" s="518"/>
      <c r="AD32" s="2"/>
      <c r="AR32" s="426"/>
      <c r="AS32" s="426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27</v>
      </c>
      <c r="B33" s="92" t="s">
        <v>28</v>
      </c>
      <c r="D33" s="93" t="s">
        <v>29</v>
      </c>
      <c r="E33" s="94">
        <f>IF(mashplato&lt;SUM(E19:E23),Vast_verlies,IF(mashplato=0,0,totaalvolume-mashwater))</f>
        <v>8.628550322996826</v>
      </c>
      <c r="F33" s="95" t="s">
        <v>30</v>
      </c>
      <c r="G33" s="418" t="s">
        <v>609</v>
      </c>
      <c r="H33" s="96"/>
      <c r="I33" s="96"/>
      <c r="L33" s="493">
        <f>$L$22/6.5</f>
        <v>3.0869220776944846</v>
      </c>
      <c r="M33" s="23"/>
      <c r="N33" s="280"/>
      <c r="O33" s="248"/>
      <c r="P33" s="377"/>
      <c r="Q33" s="377"/>
      <c r="R33" s="377"/>
      <c r="S33" s="377"/>
      <c r="T33" s="465">
        <v>31</v>
      </c>
      <c r="U33" s="466">
        <v>158</v>
      </c>
      <c r="V33" s="467">
        <v>87</v>
      </c>
      <c r="W33" s="468">
        <v>57</v>
      </c>
      <c r="X33" s="469">
        <v>229</v>
      </c>
      <c r="Y33" s="431"/>
      <c r="Z33" s="444"/>
      <c r="AA33" s="427"/>
      <c r="AB33" s="12" t="s">
        <v>576</v>
      </c>
      <c r="AC33" s="2"/>
      <c r="AD33" s="2"/>
      <c r="AR33" s="426"/>
      <c r="AS33" s="426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8" t="s">
        <v>31</v>
      </c>
      <c r="B34" s="99">
        <f>259/(259.12955-C34)*1000</f>
        <v>1011.2070239454996</v>
      </c>
      <c r="C34" s="100">
        <f>IF(mashplato&lt;13.4,3,mashplato*mashplato/58)</f>
        <v>3</v>
      </c>
      <c r="D34" s="101">
        <f>C34*1.035</f>
        <v>3.1049999999999995</v>
      </c>
      <c r="F34" s="12"/>
      <c r="G34" s="501" t="s">
        <v>641</v>
      </c>
      <c r="H34" s="502"/>
      <c r="I34" s="503"/>
      <c r="J34" s="102" t="s">
        <v>32</v>
      </c>
      <c r="K34" s="102" t="s">
        <v>33</v>
      </c>
      <c r="L34" s="103" t="s">
        <v>34</v>
      </c>
      <c r="M34" s="23"/>
      <c r="O34" s="23"/>
      <c r="P34" s="314"/>
      <c r="Q34" s="314"/>
      <c r="R34" s="314"/>
      <c r="S34" s="314"/>
      <c r="T34" s="465">
        <v>32</v>
      </c>
      <c r="U34" s="466">
        <v>149</v>
      </c>
      <c r="V34" s="467">
        <v>85</v>
      </c>
      <c r="W34" s="468">
        <v>56</v>
      </c>
      <c r="X34" s="469">
        <v>234</v>
      </c>
      <c r="Y34" s="431"/>
      <c r="Z34" s="444"/>
      <c r="AA34" s="427"/>
      <c r="AB34" s="519" t="s">
        <v>35</v>
      </c>
      <c r="AC34" s="519"/>
      <c r="AD34" s="2"/>
      <c r="AR34" s="426"/>
      <c r="AS34" s="426"/>
      <c r="AT34" s="2"/>
    </row>
    <row r="35" spans="1:46" ht="12" customHeight="1">
      <c r="A35" s="105" t="s">
        <v>36</v>
      </c>
      <c r="B35" s="102" t="s">
        <v>37</v>
      </c>
      <c r="C35" s="106" t="s">
        <v>38</v>
      </c>
      <c r="D35" s="107" t="s">
        <v>39</v>
      </c>
      <c r="E35" s="106" t="s">
        <v>40</v>
      </c>
      <c r="F35" s="108" t="s">
        <v>41</v>
      </c>
      <c r="G35" s="504" t="s">
        <v>42</v>
      </c>
      <c r="H35" s="505"/>
      <c r="I35" s="506"/>
      <c r="J35" s="109"/>
      <c r="K35" s="110" t="str">
        <f>VLOOKUP(G35,'Info-Tabellen'!$AD:$AF,2,0)</f>
        <v>-</v>
      </c>
      <c r="L35" s="111"/>
      <c r="M35" s="23"/>
      <c r="O35" s="144" t="s">
        <v>643</v>
      </c>
      <c r="T35" s="465">
        <v>33</v>
      </c>
      <c r="U35" s="466">
        <v>142</v>
      </c>
      <c r="V35" s="467">
        <v>80</v>
      </c>
      <c r="W35" s="468">
        <v>52</v>
      </c>
      <c r="X35" s="469">
        <v>234</v>
      </c>
      <c r="Y35" s="432"/>
      <c r="Z35" s="444"/>
      <c r="AA35" s="427"/>
      <c r="AB35" s="517" t="str">
        <f>VLOOKUP(G35,'Info-Tabellen'!$AD:$AF,3,0)</f>
        <v>-</v>
      </c>
      <c r="AC35" s="517"/>
      <c r="AD35" s="2"/>
      <c r="AR35" s="426"/>
      <c r="AS35" s="426"/>
      <c r="AT35" s="2"/>
    </row>
    <row r="36" spans="1:46" ht="12" customHeight="1">
      <c r="A36" s="112" t="s">
        <v>432</v>
      </c>
      <c r="B36" s="113" t="s">
        <v>44</v>
      </c>
      <c r="C36" s="114">
        <f>2*Gewenste_liters</f>
        <v>30</v>
      </c>
      <c r="D36" s="361">
        <f>VLOOKUP(hop1,'Info-Tabellen'!$R:$T,2,0)</f>
        <v>3.8</v>
      </c>
      <c r="E36" s="352" t="s">
        <v>706</v>
      </c>
      <c r="F36" s="117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15.854243940803515</v>
      </c>
      <c r="G36" s="504" t="s">
        <v>42</v>
      </c>
      <c r="H36" s="505"/>
      <c r="I36" s="506"/>
      <c r="J36" s="115"/>
      <c r="K36" s="118" t="str">
        <f>VLOOKUP(G36,'Info-Tabellen'!$AD:$AF,2,0)</f>
        <v>-</v>
      </c>
      <c r="L36" s="119"/>
      <c r="M36" s="23"/>
      <c r="N36" s="398"/>
      <c r="O36" s="478">
        <f aca="true" t="shared" si="11" ref="O36:O41">IF(B36="BLM",C36*0.006,C36*0.00267)</f>
        <v>0.18</v>
      </c>
      <c r="T36" s="465">
        <v>34</v>
      </c>
      <c r="U36" s="466">
        <v>135</v>
      </c>
      <c r="V36" s="467">
        <v>75</v>
      </c>
      <c r="W36" s="468">
        <v>48</v>
      </c>
      <c r="X36" s="469">
        <v>236</v>
      </c>
      <c r="Y36" s="431"/>
      <c r="Z36" s="444"/>
      <c r="AA36" s="427"/>
      <c r="AB36" s="516" t="str">
        <f>VLOOKUP(G36,'Info-Tabellen'!$AD:$AF,3,0)</f>
        <v>-</v>
      </c>
      <c r="AC36" s="516"/>
      <c r="AD36" s="2"/>
      <c r="AR36" s="426"/>
      <c r="AS36" s="426"/>
      <c r="AT36" s="2"/>
    </row>
    <row r="37" spans="1:46" ht="12" customHeight="1">
      <c r="A37" s="120" t="s">
        <v>400</v>
      </c>
      <c r="B37" s="121" t="s">
        <v>44</v>
      </c>
      <c r="C37" s="122">
        <f>C36</f>
        <v>30</v>
      </c>
      <c r="D37" s="362">
        <f>VLOOKUP(hop2,'Info-Tabellen'!$R:$T,2,0)</f>
        <v>4.5</v>
      </c>
      <c r="E37" s="123" t="str">
        <f>E36</f>
        <v>FWH</v>
      </c>
      <c r="F37" s="124">
        <f t="shared" si="10"/>
        <v>18.77476256147785</v>
      </c>
      <c r="G37" s="504" t="s">
        <v>42</v>
      </c>
      <c r="H37" s="505"/>
      <c r="I37" s="506"/>
      <c r="J37" s="109"/>
      <c r="K37" s="110" t="str">
        <f>VLOOKUP(G37,'Info-Tabellen'!$AD:$AF,2,0)</f>
        <v>-</v>
      </c>
      <c r="L37" s="111"/>
      <c r="M37" s="23"/>
      <c r="N37" s="398"/>
      <c r="O37" s="478">
        <f t="shared" si="11"/>
        <v>0.18</v>
      </c>
      <c r="T37" s="465">
        <v>35</v>
      </c>
      <c r="U37" s="466">
        <v>130</v>
      </c>
      <c r="V37" s="467">
        <v>72</v>
      </c>
      <c r="W37" s="468">
        <v>46</v>
      </c>
      <c r="X37" s="469">
        <v>237</v>
      </c>
      <c r="Y37" s="431"/>
      <c r="Z37" s="444"/>
      <c r="AA37" s="427"/>
      <c r="AB37" s="517" t="str">
        <f>VLOOKUP(G37,'Info-Tabellen'!$AD:$AF,3,0)</f>
        <v>-</v>
      </c>
      <c r="AC37" s="517"/>
      <c r="AD37" s="2"/>
      <c r="AR37" s="426"/>
      <c r="AS37" s="426"/>
      <c r="AT37" s="2"/>
    </row>
    <row r="38" spans="1:52" ht="12" customHeight="1">
      <c r="A38" s="112" t="s">
        <v>432</v>
      </c>
      <c r="B38" s="113" t="s">
        <v>44</v>
      </c>
      <c r="C38" s="114">
        <f>0.3*Gewenste_liters</f>
        <v>4.5</v>
      </c>
      <c r="D38" s="361">
        <f>VLOOKUP(hop3,'Info-Tabellen'!$R:$T,2,0)</f>
        <v>3.8</v>
      </c>
      <c r="E38" s="116">
        <f>Kooktijd-5</f>
        <v>55</v>
      </c>
      <c r="F38" s="117">
        <f t="shared" si="10"/>
        <v>0.42186483557729204</v>
      </c>
      <c r="G38" s="504" t="s">
        <v>42</v>
      </c>
      <c r="H38" s="505"/>
      <c r="I38" s="506"/>
      <c r="J38" s="115"/>
      <c r="K38" s="118" t="str">
        <f>VLOOKUP(G38,'Info-Tabellen'!$AD:$AF,2,0)</f>
        <v>-</v>
      </c>
      <c r="L38" s="119"/>
      <c r="M38" s="23"/>
      <c r="N38" s="398"/>
      <c r="O38" s="478">
        <f t="shared" si="11"/>
        <v>0.027</v>
      </c>
      <c r="T38" s="465">
        <v>36</v>
      </c>
      <c r="U38" s="466">
        <v>119</v>
      </c>
      <c r="V38" s="467">
        <v>70</v>
      </c>
      <c r="W38" s="468">
        <v>38</v>
      </c>
      <c r="X38" s="469">
        <v>237</v>
      </c>
      <c r="Y38" s="431"/>
      <c r="Z38" s="444"/>
      <c r="AA38" s="427"/>
      <c r="AB38" s="516" t="str">
        <f>VLOOKUP(G38,'Info-Tabellen'!$AD:$AF,3,0)</f>
        <v>-</v>
      </c>
      <c r="AC38" s="516"/>
      <c r="AD38" s="2"/>
      <c r="AR38" s="426"/>
      <c r="AS38" s="426"/>
      <c r="AT38" s="2"/>
      <c r="AV38" s="125"/>
      <c r="AW38" s="125"/>
      <c r="AX38" s="125"/>
      <c r="AY38" s="125"/>
      <c r="AZ38" s="125"/>
    </row>
    <row r="39" spans="1:52" ht="12" customHeight="1">
      <c r="A39" s="120" t="s">
        <v>400</v>
      </c>
      <c r="B39" s="121" t="s">
        <v>44</v>
      </c>
      <c r="C39" s="126">
        <f>C38</f>
        <v>4.5</v>
      </c>
      <c r="D39" s="362">
        <f>VLOOKUP(hop4,'Info-Tabellen'!$R:$T,2,0)</f>
        <v>4.5</v>
      </c>
      <c r="E39" s="127">
        <f>E38</f>
        <v>55</v>
      </c>
      <c r="F39" s="124">
        <f t="shared" si="10"/>
        <v>0.49957677897310904</v>
      </c>
      <c r="G39" s="504" t="s">
        <v>42</v>
      </c>
      <c r="H39" s="505"/>
      <c r="I39" s="506"/>
      <c r="J39" s="109"/>
      <c r="K39" s="110" t="str">
        <f>VLOOKUP(G39,'Info-Tabellen'!$AD:$AF,2,0)</f>
        <v>-</v>
      </c>
      <c r="L39" s="111"/>
      <c r="M39" s="23"/>
      <c r="N39" s="398"/>
      <c r="O39" s="478">
        <f t="shared" si="11"/>
        <v>0.027</v>
      </c>
      <c r="T39" s="465">
        <v>37</v>
      </c>
      <c r="U39" s="466">
        <v>111</v>
      </c>
      <c r="V39" s="467">
        <v>67</v>
      </c>
      <c r="W39" s="468">
        <v>36</v>
      </c>
      <c r="X39" s="469">
        <v>238</v>
      </c>
      <c r="Y39" s="431"/>
      <c r="Z39" s="444"/>
      <c r="AA39" s="427"/>
      <c r="AB39" s="517" t="str">
        <f>VLOOKUP(G39,'Info-Tabellen'!$AD:$AF,3,0)</f>
        <v>-</v>
      </c>
      <c r="AC39" s="517"/>
      <c r="AD39" s="2"/>
      <c r="AR39" s="426"/>
      <c r="AS39" s="426"/>
      <c r="AT39" s="2"/>
      <c r="AV39" s="125"/>
      <c r="AW39" s="125"/>
      <c r="AX39" s="125"/>
      <c r="AY39" s="125"/>
      <c r="AZ39" s="125"/>
    </row>
    <row r="40" spans="1:58" ht="12" customHeight="1">
      <c r="A40" s="112" t="s">
        <v>43</v>
      </c>
      <c r="B40" s="113" t="s">
        <v>44</v>
      </c>
      <c r="C40" s="114"/>
      <c r="D40" s="361">
        <f>VLOOKUP(hop5,'Info-Tabellen'!$R:$T,2,0)</f>
        <v>0</v>
      </c>
      <c r="E40" s="116"/>
      <c r="F40" s="117">
        <f t="shared" si="10"/>
      </c>
      <c r="G40" s="504" t="s">
        <v>42</v>
      </c>
      <c r="H40" s="505"/>
      <c r="I40" s="506"/>
      <c r="J40" s="115"/>
      <c r="K40" s="118" t="str">
        <f>VLOOKUP(G40,'Info-Tabellen'!$AD:$AF,2,0)</f>
        <v>-</v>
      </c>
      <c r="L40" s="119"/>
      <c r="M40" s="23"/>
      <c r="N40" s="398"/>
      <c r="O40" s="478">
        <f t="shared" si="11"/>
        <v>0</v>
      </c>
      <c r="T40" s="465">
        <v>38</v>
      </c>
      <c r="U40" s="466">
        <v>105</v>
      </c>
      <c r="V40" s="467">
        <v>62</v>
      </c>
      <c r="W40" s="468">
        <v>28</v>
      </c>
      <c r="X40" s="469">
        <v>239</v>
      </c>
      <c r="Y40" s="431"/>
      <c r="Z40" s="444"/>
      <c r="AA40" s="427"/>
      <c r="AB40" s="516" t="str">
        <f>VLOOKUP(G40,'Info-Tabellen'!$AD:$AF,3,0)</f>
        <v>-</v>
      </c>
      <c r="AC40" s="516"/>
      <c r="AD40" s="2"/>
      <c r="AR40" s="426"/>
      <c r="AS40" s="426"/>
      <c r="AT40" s="2"/>
      <c r="AU40" s="125"/>
      <c r="AV40" s="34"/>
      <c r="AW40" s="34"/>
      <c r="AX40" s="34"/>
      <c r="AY40" s="34"/>
      <c r="AZ40" s="34"/>
      <c r="BA40" s="125"/>
      <c r="BB40" s="125"/>
      <c r="BC40" s="125"/>
      <c r="BD40" s="125"/>
      <c r="BE40" s="125"/>
      <c r="BF40" s="125"/>
    </row>
    <row r="41" spans="1:58" ht="12" customHeight="1">
      <c r="A41" s="120" t="s">
        <v>43</v>
      </c>
      <c r="B41" s="121" t="s">
        <v>44</v>
      </c>
      <c r="C41" s="128"/>
      <c r="D41" s="363">
        <f>VLOOKUP(hop6,'Info-Tabellen'!$R:$T,2,0)</f>
        <v>0</v>
      </c>
      <c r="E41" s="129"/>
      <c r="F41" s="130">
        <f t="shared" si="10"/>
      </c>
      <c r="G41" s="504" t="s">
        <v>42</v>
      </c>
      <c r="H41" s="505"/>
      <c r="I41" s="506"/>
      <c r="J41" s="109"/>
      <c r="K41" s="110" t="str">
        <f>VLOOKUP(G41,'Info-Tabellen'!$AD:$AF,2,0)</f>
        <v>-</v>
      </c>
      <c r="L41" s="111"/>
      <c r="M41" s="23"/>
      <c r="N41" s="398"/>
      <c r="O41" s="478">
        <f t="shared" si="11"/>
        <v>0</v>
      </c>
      <c r="T41" s="465">
        <v>39</v>
      </c>
      <c r="U41" s="466">
        <v>99</v>
      </c>
      <c r="V41" s="467">
        <v>58</v>
      </c>
      <c r="W41" s="468">
        <v>25</v>
      </c>
      <c r="X41" s="469">
        <v>240</v>
      </c>
      <c r="Y41" s="431"/>
      <c r="Z41" s="444"/>
      <c r="AA41" s="427"/>
      <c r="AB41" s="517" t="str">
        <f>VLOOKUP(G41,'Info-Tabellen'!$AD:$AF,3,0)</f>
        <v>-</v>
      </c>
      <c r="AC41" s="517"/>
      <c r="AD41" s="2"/>
      <c r="AR41" s="426"/>
      <c r="AS41" s="426"/>
      <c r="AT41" s="2"/>
      <c r="AU41" s="125"/>
      <c r="AV41" s="34"/>
      <c r="AW41" s="34"/>
      <c r="AX41" s="34"/>
      <c r="AY41" s="34"/>
      <c r="AZ41" s="34"/>
      <c r="BA41" s="125"/>
      <c r="BB41" s="125"/>
      <c r="BC41" s="125"/>
      <c r="BD41" s="125"/>
      <c r="BE41" s="125"/>
      <c r="BF41" s="125"/>
    </row>
    <row r="42" spans="1:58" ht="12" customHeight="1">
      <c r="A42" s="323" t="s">
        <v>45</v>
      </c>
      <c r="B42" s="353" t="s">
        <v>652</v>
      </c>
      <c r="C42" s="324"/>
      <c r="D42" s="131">
        <v>6</v>
      </c>
      <c r="E42" s="321" t="s">
        <v>46</v>
      </c>
      <c r="F42" s="132" t="str">
        <f>IF(C42=0,"  ",C42*D42/Gewenste_liters)</f>
        <v>  </v>
      </c>
      <c r="G42" s="504" t="s">
        <v>42</v>
      </c>
      <c r="H42" s="505"/>
      <c r="I42" s="506"/>
      <c r="J42" s="115"/>
      <c r="K42" s="118" t="str">
        <f>VLOOKUP(G42,'Info-Tabellen'!$AD:$AF,2,0)</f>
        <v>-</v>
      </c>
      <c r="L42" s="119"/>
      <c r="M42" s="23"/>
      <c r="N42" s="397" t="s">
        <v>47</v>
      </c>
      <c r="O42" s="479">
        <f>Vast_verlies</f>
        <v>1.5</v>
      </c>
      <c r="P42" s="375" t="s">
        <v>48</v>
      </c>
      <c r="Q42" s="375"/>
      <c r="R42" s="375"/>
      <c r="S42" s="375"/>
      <c r="T42" s="465">
        <v>40</v>
      </c>
      <c r="U42" s="466">
        <v>91</v>
      </c>
      <c r="V42" s="467">
        <v>55</v>
      </c>
      <c r="W42" s="468">
        <v>20</v>
      </c>
      <c r="X42" s="469">
        <v>240</v>
      </c>
      <c r="Y42" s="431"/>
      <c r="Z42" s="444"/>
      <c r="AA42" s="427"/>
      <c r="AB42" s="516" t="str">
        <f>VLOOKUP(G42,'Info-Tabellen'!$AD:$AF,3,0)</f>
        <v>-</v>
      </c>
      <c r="AC42" s="516"/>
      <c r="AD42" s="2"/>
      <c r="AR42" s="426"/>
      <c r="AS42" s="426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5" t="s">
        <v>630</v>
      </c>
      <c r="B43" s="280"/>
      <c r="C43" s="322"/>
      <c r="D43" s="509" t="s">
        <v>49</v>
      </c>
      <c r="E43" s="510"/>
      <c r="F43" s="320">
        <f>SUM(F36:F42)</f>
        <v>35.55044811683176</v>
      </c>
      <c r="G43" s="504" t="s">
        <v>42</v>
      </c>
      <c r="H43" s="505"/>
      <c r="I43" s="506"/>
      <c r="J43" s="134"/>
      <c r="K43" s="135" t="str">
        <f>VLOOKUP(G43,'Info-Tabellen'!$AD:$AF,2,0)</f>
        <v>-</v>
      </c>
      <c r="L43" s="136"/>
      <c r="M43" s="23"/>
      <c r="N43" s="397" t="s">
        <v>50</v>
      </c>
      <c r="O43" s="479">
        <f>SUM(O36:O42)</f>
        <v>1.9140000000000001</v>
      </c>
      <c r="P43" s="375" t="s">
        <v>48</v>
      </c>
      <c r="Q43" s="375"/>
      <c r="R43" s="375"/>
      <c r="S43" s="375"/>
      <c r="T43" s="465">
        <v>41</v>
      </c>
      <c r="U43" s="466">
        <v>83</v>
      </c>
      <c r="V43" s="467">
        <v>51</v>
      </c>
      <c r="W43" s="468">
        <v>15</v>
      </c>
      <c r="X43" s="469">
        <v>241</v>
      </c>
      <c r="Y43" s="431"/>
      <c r="Z43" s="444"/>
      <c r="AA43" s="427"/>
      <c r="AB43" s="517" t="str">
        <f>VLOOKUP(G43,'Info-Tabellen'!$AD:$AF,3,0)</f>
        <v>-</v>
      </c>
      <c r="AC43" s="517"/>
      <c r="AD43" s="2"/>
      <c r="AR43" s="426"/>
      <c r="AS43" s="426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8" t="s">
        <v>631</v>
      </c>
      <c r="B44" s="326"/>
      <c r="C44" s="327">
        <f>VLOOKUP(HoofdGist,'Info-Tabellen'!$X:$AB,4,0)</f>
        <v>20</v>
      </c>
      <c r="D44" s="137" t="s">
        <v>632</v>
      </c>
      <c r="F44" s="139"/>
      <c r="H44" s="138" t="s">
        <v>51</v>
      </c>
      <c r="I44" s="140">
        <v>21</v>
      </c>
      <c r="M44" s="23"/>
      <c r="N44" s="397" t="s">
        <v>52</v>
      </c>
      <c r="O44" s="480">
        <f>verkookpercent/100*Kooktijd/60*$L$27</f>
        <v>2.053634250501879</v>
      </c>
      <c r="P44" s="390" t="s">
        <v>683</v>
      </c>
      <c r="Q44" s="390"/>
      <c r="R44" s="390"/>
      <c r="S44" s="390"/>
      <c r="T44" s="465">
        <v>42</v>
      </c>
      <c r="U44" s="466">
        <v>74</v>
      </c>
      <c r="V44" s="467">
        <v>47</v>
      </c>
      <c r="W44" s="468">
        <v>7</v>
      </c>
      <c r="X44" s="469">
        <v>242</v>
      </c>
      <c r="Y44" s="431"/>
      <c r="Z44" s="444"/>
      <c r="AA44" s="427"/>
      <c r="AB44" s="141"/>
      <c r="AC44" s="141"/>
      <c r="AD44" s="2"/>
      <c r="AR44" s="426"/>
      <c r="AS44" s="426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2" t="s">
        <v>53</v>
      </c>
      <c r="B45" s="143"/>
      <c r="C45" s="144" t="s">
        <v>54</v>
      </c>
      <c r="D45" s="145"/>
      <c r="E45" s="146" t="s">
        <v>55</v>
      </c>
      <c r="F45" s="147"/>
      <c r="G45" s="490">
        <f>Stamwort/1000</f>
        <v>1.049</v>
      </c>
      <c r="H45" s="148">
        <v>0</v>
      </c>
      <c r="I45" s="148"/>
      <c r="J45" s="150">
        <f>IF(Stamplato="","",IF(Eindcijfer="","",0.1808*Stamplato+0.8192*Eindplato))</f>
        <v>4.726991207709855</v>
      </c>
      <c r="L45" s="149">
        <f>IF(Stamwort="","",1+(Stamplato/(258.6-0.87955*Stamplato)))</f>
        <v>1.0490010477074765</v>
      </c>
      <c r="M45" s="23"/>
      <c r="O45" s="206"/>
      <c r="P45" s="375" t="s">
        <v>684</v>
      </c>
      <c r="S45" s="389"/>
      <c r="T45" s="465">
        <v>43</v>
      </c>
      <c r="U45" s="466">
        <v>76</v>
      </c>
      <c r="V45" s="467">
        <v>45</v>
      </c>
      <c r="W45" s="468">
        <v>40</v>
      </c>
      <c r="X45" s="469">
        <v>242</v>
      </c>
      <c r="Y45" s="431"/>
      <c r="Z45" s="444"/>
      <c r="AA45" s="427"/>
      <c r="AB45" s="315"/>
      <c r="AC45" s="151"/>
      <c r="AD45" s="152"/>
      <c r="AR45" s="426"/>
      <c r="AS45" s="426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3" t="s">
        <v>57</v>
      </c>
      <c r="B46" s="154" t="s">
        <v>703</v>
      </c>
      <c r="C46" s="155">
        <v>1049</v>
      </c>
      <c r="D46" s="156">
        <f>IF(Stamwort="","SG",IF(meter="S.G.",Stamwort,IF(meter="°Plato",(0.0000152482628*Stamwort*Stamwort+0.0038422807854*Stamwort+1.0000602058824)*1000,IF(meter="Brix",259/(259.12955-Stamplato)*1000))))</f>
        <v>1049</v>
      </c>
      <c r="E46" s="512">
        <f>IF(Stamwort="","°Plato",IF(meter="°Plato",Stamwort,IF(meter="S.G.",(164.22197*$G$45*$G$45*$G$45-717.63578*$G$45*$G$45+1201.22307*$G$45-647.81258),IF(meter="Brix",Stamwort/Brixratio))))</f>
        <v>12.14810147267849</v>
      </c>
      <c r="F46" s="512"/>
      <c r="G46" s="513">
        <f>IF(Stamwort="","Brix",IF(meter="Brix",Stamwort,IF(meter="°Plato",Stamwort*Brixratio,IF(meter="S.G.",Stamplato*Brixratio))))</f>
        <v>12.357015527632642</v>
      </c>
      <c r="H46" s="513"/>
      <c r="K46" s="482" t="s">
        <v>688</v>
      </c>
      <c r="L46" s="157">
        <v>18</v>
      </c>
      <c r="M46" s="23"/>
      <c r="N46" s="406" t="s">
        <v>56</v>
      </c>
      <c r="O46" s="477">
        <f>verkookwater+hopverlies</f>
        <v>3.967634250501879</v>
      </c>
      <c r="P46" s="389" t="s">
        <v>685</v>
      </c>
      <c r="Q46" s="389"/>
      <c r="R46" s="389"/>
      <c r="T46" s="465">
        <v>44</v>
      </c>
      <c r="U46" s="466">
        <v>66</v>
      </c>
      <c r="V46" s="467">
        <v>41</v>
      </c>
      <c r="W46" s="468">
        <v>36</v>
      </c>
      <c r="X46" s="469">
        <v>243</v>
      </c>
      <c r="Y46" s="431"/>
      <c r="Z46" s="444"/>
      <c r="AA46" s="427"/>
      <c r="AB46" s="151"/>
      <c r="AC46" s="151"/>
      <c r="AD46" s="152"/>
      <c r="AR46" s="426"/>
      <c r="AS46" s="426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8"/>
      <c r="B47" s="159"/>
      <c r="C47" s="160" t="s">
        <v>58</v>
      </c>
      <c r="D47" s="161">
        <f>K14</f>
        <v>1005.0246828933717</v>
      </c>
      <c r="G47" s="162" t="s">
        <v>59</v>
      </c>
      <c r="H47" s="163">
        <v>13</v>
      </c>
      <c r="I47" s="285" t="s">
        <v>597</v>
      </c>
      <c r="K47" s="514" t="s">
        <v>707</v>
      </c>
      <c r="L47" s="514"/>
      <c r="M47" s="23"/>
      <c r="O47" s="206"/>
      <c r="P47" s="389" t="s">
        <v>686</v>
      </c>
      <c r="T47" s="465">
        <v>45</v>
      </c>
      <c r="U47" s="466">
        <v>63</v>
      </c>
      <c r="V47" s="467">
        <v>38</v>
      </c>
      <c r="W47" s="468">
        <v>32</v>
      </c>
      <c r="X47" s="469">
        <v>244</v>
      </c>
      <c r="Y47" s="431"/>
      <c r="Z47" s="444"/>
      <c r="AA47" s="429"/>
      <c r="AB47" s="315"/>
      <c r="AC47" s="151"/>
      <c r="AD47" s="152"/>
      <c r="AR47" s="426"/>
      <c r="AS47" s="426"/>
      <c r="AT47" s="2"/>
      <c r="AU47" s="34"/>
      <c r="AV47" s="125"/>
      <c r="AW47" s="125"/>
      <c r="AX47" s="125"/>
      <c r="AY47" s="125"/>
      <c r="AZ47" s="125"/>
      <c r="BA47" s="34"/>
      <c r="BB47" s="34"/>
      <c r="BC47" s="34"/>
      <c r="BD47" s="34"/>
      <c r="BE47" s="34"/>
      <c r="BF47" s="34"/>
    </row>
    <row r="48" spans="2:58" ht="12" customHeight="1">
      <c r="B48" s="144" t="s">
        <v>60</v>
      </c>
      <c r="C48" s="164" t="s">
        <v>715</v>
      </c>
      <c r="G48" s="19" t="s">
        <v>61</v>
      </c>
      <c r="H48" s="154" t="s">
        <v>703</v>
      </c>
      <c r="I48" s="265"/>
      <c r="K48" s="165" t="s">
        <v>598</v>
      </c>
      <c r="L48" s="155">
        <v>1026</v>
      </c>
      <c r="M48" s="23"/>
      <c r="T48" s="465"/>
      <c r="U48" s="466"/>
      <c r="V48" s="467"/>
      <c r="W48" s="468"/>
      <c r="X48" s="469"/>
      <c r="AA48" s="72"/>
      <c r="AB48" s="315"/>
      <c r="AC48" s="151"/>
      <c r="AD48" s="152"/>
      <c r="AI48" s="428"/>
      <c r="AJ48" s="429"/>
      <c r="AK48" s="429"/>
      <c r="AL48" s="429"/>
      <c r="AM48" s="429"/>
      <c r="AN48" s="429"/>
      <c r="AO48" s="429"/>
      <c r="AQ48" s="427"/>
      <c r="AR48" s="427"/>
      <c r="AS48" s="427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18">
        <f>IF(Eindcijfer="","- -",81.92*(Stamplato-Eindplato)/(206.65-1.0665*Stamplato))</f>
        <v>3.8313568606888313</v>
      </c>
      <c r="F49" s="166">
        <f>IF(ISNUMBER(alconalager),12-(alconalager*100/1.97),"")</f>
        <v>9.521260988124109</v>
      </c>
      <c r="G49" s="489">
        <f>IF(Eindcijfer="","°Plato",IF(meternadien="°Plato",Eindcijfer,IF(meternadien="S.G.",(259*Eindcijfer/1000-259)/(Eindcijfer/1000-0.0089),Eindcijfer/1.03)))</f>
        <v>6.620784583620076</v>
      </c>
      <c r="H49" s="507">
        <f>IF(Eindcijfer="","Brix",IF(meternadien="Brix",Eindcijfer,IF(meternadien="°Plato",Eindcijfer*Brixratio,IF(meternadien="S.G.",VLeindplato*Brixratio))))</f>
        <v>6.734643935013611</v>
      </c>
      <c r="I49" s="507"/>
      <c r="J49" s="507"/>
      <c r="K49" s="259">
        <f>IF(Eindcijfer="","SG",IF(meternadien="S.G.",Eindcijfer,IF(meternadien="°Plato",(0.0000152482628*Eindcijfer*Eindcijfer+0.0038422807854*Eindcijfer+1.0000602058824)*1000,IF(meternadien="Brix",259/(259.12955-Eindcijfer)*1000))))</f>
        <v>1026</v>
      </c>
      <c r="L49" s="486">
        <f>IF(alconalager="","",IF(kleur&gt;107,6,((35000-(kleur^2))/3888)))</f>
        <v>8.996622997534866</v>
      </c>
      <c r="M49" s="23"/>
      <c r="T49" s="465"/>
      <c r="U49" s="466"/>
      <c r="V49" s="467"/>
      <c r="W49" s="468"/>
      <c r="X49" s="469"/>
      <c r="AA49" s="72"/>
      <c r="AI49" s="428"/>
      <c r="AJ49" s="429"/>
      <c r="AK49" s="429"/>
      <c r="AL49" s="429"/>
      <c r="AM49" s="429"/>
      <c r="AN49" s="429"/>
      <c r="AO49" s="429"/>
      <c r="AP49" s="429"/>
      <c r="AQ49" s="427"/>
      <c r="AR49" s="427"/>
      <c r="AS49" s="427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7" t="str">
        <f>IF(refofhyg="HYGRO","°Plato en S.G. conversie &gt; ","Met een hygrometer is dit &gt;")</f>
        <v>Met een hygrometer is dit &gt;</v>
      </c>
      <c r="B50" s="168">
        <f>IF(EindSG="SG","°Pt",IF(refofhyg="REFRAC",(259*EindSG/1000-259)/(EindSG/1000-0.0089),VLeindplato))</f>
        <v>3.0891289812616987</v>
      </c>
      <c r="C50" s="169" t="s">
        <v>62</v>
      </c>
      <c r="D50" s="170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1011.9636798590878</v>
      </c>
      <c r="F50" s="171"/>
      <c r="J50" s="133" t="s">
        <v>63</v>
      </c>
      <c r="K50" s="172">
        <f>IF(Totaalkg=0,"",IF(Bekomenliter="","",IF(Stamwort="","",StamSG/1000*Bekomenliter*totplato/(Totaalkg)/100)))</f>
        <v>0.7582401421551238</v>
      </c>
      <c r="M50" s="23"/>
      <c r="T50" s="465"/>
      <c r="U50" s="466"/>
      <c r="V50" s="467"/>
      <c r="W50" s="468"/>
      <c r="X50" s="469"/>
      <c r="AA50" s="72"/>
      <c r="AB50" s="151"/>
      <c r="AC50" s="151"/>
      <c r="AD50" s="152"/>
      <c r="AN50" s="429"/>
      <c r="AO50" s="429"/>
      <c r="AP50" s="429"/>
      <c r="AQ50" s="427"/>
      <c r="AR50" s="427"/>
      <c r="AS50" s="427"/>
      <c r="AT50" s="2"/>
      <c r="AU50" s="125"/>
      <c r="BA50" s="125"/>
      <c r="BB50" s="125"/>
      <c r="BC50" s="125"/>
      <c r="BD50" s="125"/>
      <c r="BE50" s="125"/>
      <c r="BF50" s="125"/>
    </row>
    <row r="51" spans="1:46" ht="12" customHeight="1">
      <c r="A51" s="173" t="s">
        <v>64</v>
      </c>
      <c r="B51" s="174">
        <f>IF(Stamwort="","",IF(Eindcijfer="","",((StamSG-EindSG)/(StamSG-1000))))</f>
        <v>0.7558432681818806</v>
      </c>
      <c r="C51" s="175" t="s">
        <v>65</v>
      </c>
      <c r="E51" s="176"/>
      <c r="F51" s="174">
        <f>IF(Eindcijfer="","",IF(Stamplato="","",(Stamplato-Restextract)/Stamplato))</f>
        <v>0.6108864238300096</v>
      </c>
      <c r="G51" s="177">
        <f>IF(alcogewicht="","",IF(Eindcijfer="","",IF(Bekomenliter="","",EindSG/1000*alcogewicht/0.794/100)))</f>
        <v>0.04883115853395506</v>
      </c>
      <c r="H51" s="178" t="s">
        <v>25</v>
      </c>
      <c r="I51" s="179" t="str">
        <f>IF(Eindcijfer="","",IF(nietvergist&gt;6,"!!!! &gt;",IF(nietvergist&gt;5,"zie na: &gt;&gt;","")))</f>
        <v>!!!! &gt;</v>
      </c>
      <c r="K51" s="180" t="str">
        <f>IF(nietvergist="","","Ev. niet vergist suiker&gt;")</f>
        <v>Ev. niet vergist suiker&gt;</v>
      </c>
      <c r="L51" s="181">
        <f>IF(Stamwort="","",IF(Eindcijfer="","",IF(((Eindplato-voorsp_eindplato)*8.1-2)&lt;0,0,(Eindplato-voorsp_eindplato)*8.1-2)))</f>
        <v>12.60933808916513</v>
      </c>
      <c r="M51" s="23"/>
      <c r="T51" s="465"/>
      <c r="U51" s="466"/>
      <c r="V51" s="467"/>
      <c r="W51" s="468"/>
      <c r="X51" s="469"/>
      <c r="AA51" s="72"/>
      <c r="AB51" s="182"/>
      <c r="AC51" s="151"/>
      <c r="AD51" s="152"/>
      <c r="AI51" s="428"/>
      <c r="AJ51" s="429"/>
      <c r="AK51" s="429"/>
      <c r="AL51" s="429"/>
      <c r="AM51" s="429"/>
      <c r="AN51" s="429"/>
      <c r="AO51" s="429"/>
      <c r="AP51" s="429"/>
      <c r="AQ51" s="427"/>
      <c r="AR51" s="427"/>
      <c r="AS51" s="427"/>
      <c r="AT51" s="2"/>
    </row>
    <row r="52" spans="1:46" ht="14.25" customHeight="1">
      <c r="A52" s="183" t="s">
        <v>66</v>
      </c>
      <c r="B52" s="184">
        <f>IF($G$53="J",$K$53,IF(alconalager="","",IF(kleur&gt;50,botsuikervlgskleur,botsuikervlgsalco)))</f>
        <v>10</v>
      </c>
      <c r="D52" s="185" t="s">
        <v>67</v>
      </c>
      <c r="E52" s="186">
        <v>25</v>
      </c>
      <c r="F52"/>
      <c r="G52" s="187" t="s">
        <v>68</v>
      </c>
      <c r="H52" s="188" t="s">
        <v>708</v>
      </c>
      <c r="I52" s="286"/>
      <c r="J52" s="19" t="s">
        <v>629</v>
      </c>
      <c r="K52" s="508" t="s">
        <v>709</v>
      </c>
      <c r="L52" s="508"/>
      <c r="M52" s="23"/>
      <c r="T52" s="465"/>
      <c r="U52" s="466"/>
      <c r="V52" s="467"/>
      <c r="W52" s="468"/>
      <c r="X52" s="469"/>
      <c r="AA52" s="72"/>
      <c r="AB52" s="182"/>
      <c r="AC52" s="151"/>
      <c r="AD52" s="152"/>
      <c r="AI52" s="428"/>
      <c r="AJ52" s="429"/>
      <c r="AK52" s="429"/>
      <c r="AL52" s="429"/>
      <c r="AM52" s="429"/>
      <c r="AN52" s="429"/>
      <c r="AO52" s="429"/>
      <c r="AP52" s="429"/>
      <c r="AQ52" s="427"/>
      <c r="AR52" s="427"/>
      <c r="AS52" s="427"/>
      <c r="AT52" s="2"/>
    </row>
    <row r="53" spans="1:46" ht="12.75" customHeight="1">
      <c r="A53" s="74" t="s">
        <v>69</v>
      </c>
      <c r="B53" s="511" t="s">
        <v>70</v>
      </c>
      <c r="C53" s="511"/>
      <c r="F53" s="133" t="s">
        <v>71</v>
      </c>
      <c r="G53" s="60" t="s">
        <v>710</v>
      </c>
      <c r="J53" s="133" t="s">
        <v>72</v>
      </c>
      <c r="K53" s="319">
        <v>10</v>
      </c>
      <c r="M53" s="23"/>
      <c r="T53" s="465"/>
      <c r="U53" s="466"/>
      <c r="V53" s="467"/>
      <c r="W53" s="468"/>
      <c r="X53" s="469"/>
      <c r="AA53" s="72"/>
      <c r="AB53" s="182"/>
      <c r="AC53" s="151"/>
      <c r="AD53" s="152"/>
      <c r="AI53" s="428"/>
      <c r="AJ53" s="429"/>
      <c r="AK53" s="429"/>
      <c r="AL53" s="429"/>
      <c r="AM53" s="429"/>
      <c r="AN53" s="429"/>
      <c r="AO53" s="429"/>
      <c r="AP53" s="429"/>
      <c r="AQ53" s="427"/>
      <c r="AR53" s="427"/>
      <c r="AS53" s="427"/>
      <c r="AT53" s="2"/>
    </row>
    <row r="54" spans="1:46" ht="12" customHeight="1">
      <c r="A54" s="189" t="s">
        <v>73</v>
      </c>
      <c r="B54" s="190">
        <f>IF(Eindcijfer="","",IF(suikersoort="Kristalsuiker",adviessuiker,IF(suikersoort="Dextrose",adviessuiker/0.93,adviessuiker/0.975)))</f>
        <v>10</v>
      </c>
      <c r="C54" s="191" t="s">
        <v>74</v>
      </c>
      <c r="D54" s="192">
        <f>IF(Eindcijfer="","",IF(adviessuiker="","",suikergift*Bekomenliter))</f>
        <v>180</v>
      </c>
      <c r="F54" s="194" t="str">
        <f>IF(Eindcijfer="","",IF(adviessuiker-nietvergist&lt;0,"GEEN",suikergift-nietvergist))</f>
        <v>GEEN</v>
      </c>
      <c r="G54" s="193"/>
      <c r="H54" s="288" t="s">
        <v>75</v>
      </c>
      <c r="I54" s="195">
        <f>IF(Eindcijfer="","",IF(adviessuiker-nietvergist&lt;0,"",(suikergift-nietvergist)*Bekomenliter))</f>
      </c>
      <c r="J54" s="287" t="str">
        <f>IF(Eindcijfer="","",IF(suikergift=corsuiker,"Suikergift blijft dezelfde: ","Indien restsuiker verder kan uitgisten:"))</f>
        <v>Indien restsuiker verder kan uitgisten:</v>
      </c>
      <c r="K54" s="217"/>
      <c r="L54" s="217"/>
      <c r="M54" s="23"/>
      <c r="N54" s="280"/>
      <c r="O54" s="248"/>
      <c r="P54" s="377"/>
      <c r="Q54" s="377"/>
      <c r="R54" s="377"/>
      <c r="S54" s="377"/>
      <c r="T54" s="465"/>
      <c r="U54" s="466"/>
      <c r="V54" s="467"/>
      <c r="W54" s="468"/>
      <c r="X54" s="469"/>
      <c r="Y54" s="377"/>
      <c r="Z54" s="447"/>
      <c r="AA54" s="72"/>
      <c r="AB54" s="182"/>
      <c r="AC54" s="151"/>
      <c r="AD54" s="152"/>
      <c r="AI54" s="428"/>
      <c r="AJ54" s="429"/>
      <c r="AK54" s="429"/>
      <c r="AL54" s="429"/>
      <c r="AM54" s="429"/>
      <c r="AN54" s="429"/>
      <c r="AO54" s="429"/>
      <c r="AP54" s="429"/>
      <c r="AQ54" s="427"/>
      <c r="AR54" s="427"/>
      <c r="AS54" s="427"/>
      <c r="AT54" s="2"/>
    </row>
    <row r="55" spans="1:58" s="12" customFormat="1" ht="12" customHeight="1">
      <c r="A55" s="196" t="s">
        <v>76</v>
      </c>
      <c r="B55" s="197">
        <f>IF(ISNUMBER(alconalager),alconalager+(adviessuiker/16.5/100),"")</f>
        <v>0.05489176459456112</v>
      </c>
      <c r="C55" s="198"/>
      <c r="D55" s="199" t="s">
        <v>77</v>
      </c>
      <c r="E55" s="515">
        <f>IF($B$55="","",IF(Botdatum="","",IF($B$55*100&lt;5,((($B$55*100)-5)*30)+215+Botdatum,((($B$55*100)-5)*130)+215+Botdatum)))</f>
        <v>42023.59293972929</v>
      </c>
      <c r="F55" s="515"/>
      <c r="G55" s="200" t="s">
        <v>78</v>
      </c>
      <c r="H55" s="200"/>
      <c r="I55" s="200"/>
      <c r="J55" s="201"/>
      <c r="K55" s="201"/>
      <c r="L55" s="343"/>
      <c r="M55" s="222"/>
      <c r="N55" s="280"/>
      <c r="O55" s="248"/>
      <c r="P55" s="377"/>
      <c r="Q55" s="377"/>
      <c r="R55" s="377"/>
      <c r="S55" s="377"/>
      <c r="T55" s="465"/>
      <c r="U55" s="466"/>
      <c r="V55" s="467"/>
      <c r="W55" s="468"/>
      <c r="X55" s="469"/>
      <c r="Y55" s="377"/>
      <c r="Z55" s="447"/>
      <c r="AA55" s="402"/>
      <c r="AB55" s="182"/>
      <c r="AC55" s="151"/>
      <c r="AD55" s="152"/>
      <c r="AE55" s="367"/>
      <c r="AF55" s="367"/>
      <c r="AG55" s="367"/>
      <c r="AH55" s="367"/>
      <c r="AI55" s="423"/>
      <c r="AN55" s="429"/>
      <c r="AO55" s="429"/>
      <c r="AP55" s="429"/>
      <c r="AQ55" s="427"/>
      <c r="AR55" s="427"/>
      <c r="AS55" s="427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80</v>
      </c>
      <c r="B56" s="202"/>
      <c r="C56" s="202"/>
      <c r="D56" s="202"/>
      <c r="E56" s="350" t="s">
        <v>648</v>
      </c>
      <c r="F56" s="481" t="s">
        <v>701</v>
      </c>
      <c r="G56" s="349" t="s">
        <v>702</v>
      </c>
      <c r="I56" s="204"/>
      <c r="J56" s="204"/>
      <c r="K56" s="204"/>
      <c r="L56" s="204"/>
      <c r="M56" s="399"/>
      <c r="O56" s="248"/>
      <c r="P56" s="377"/>
      <c r="Q56" s="377"/>
      <c r="R56" s="377"/>
      <c r="S56" s="377"/>
      <c r="T56" s="465"/>
      <c r="U56" s="466"/>
      <c r="V56" s="467"/>
      <c r="W56" s="468"/>
      <c r="X56" s="469"/>
      <c r="Y56" s="377"/>
      <c r="Z56" s="447"/>
      <c r="AA56" s="402"/>
      <c r="AB56" s="182"/>
      <c r="AC56" s="151"/>
      <c r="AD56" s="152"/>
      <c r="AE56" s="367"/>
      <c r="AF56" s="367"/>
      <c r="AG56" s="367"/>
      <c r="AH56" s="367"/>
      <c r="AI56" s="428"/>
      <c r="AJ56" s="429"/>
      <c r="AK56" s="429"/>
      <c r="AL56" s="429"/>
      <c r="AM56" s="429"/>
      <c r="AN56" s="429"/>
      <c r="AO56" s="429"/>
      <c r="AP56" s="429"/>
      <c r="AQ56" s="427"/>
      <c r="AR56" s="427"/>
      <c r="AS56" s="427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3" t="s">
        <v>704</v>
      </c>
      <c r="B57" s="491">
        <f>Bekomenliter</f>
        <v>18</v>
      </c>
      <c r="C57" s="175"/>
      <c r="D57" s="492" t="s">
        <v>705</v>
      </c>
      <c r="E57" s="537">
        <f>ROUNDDOWN(B57/0.33/24,0)</f>
        <v>2</v>
      </c>
      <c r="F57" s="538"/>
      <c r="G57" s="539">
        <f>((B57/0.33/24)-E57)*24</f>
        <v>6.54545454545454</v>
      </c>
      <c r="H57" s="540"/>
      <c r="I57" s="204"/>
      <c r="J57" s="247"/>
      <c r="K57" s="204"/>
      <c r="L57" s="204"/>
      <c r="M57" s="399"/>
      <c r="N57" s="399"/>
      <c r="O57" s="204"/>
      <c r="P57" s="376"/>
      <c r="Q57" s="376"/>
      <c r="R57" s="376"/>
      <c r="S57" s="376"/>
      <c r="T57" s="465"/>
      <c r="U57" s="466"/>
      <c r="V57" s="467"/>
      <c r="W57" s="468"/>
      <c r="X57" s="469"/>
      <c r="Y57" s="376"/>
      <c r="Z57" s="448"/>
      <c r="AA57" s="402"/>
      <c r="AB57" s="182"/>
      <c r="AC57" s="151"/>
      <c r="AD57" s="152"/>
      <c r="AE57" s="367"/>
      <c r="AF57" s="367"/>
      <c r="AG57" s="367"/>
      <c r="AH57" s="367"/>
      <c r="AI57" s="428"/>
      <c r="AJ57" s="429"/>
      <c r="AK57" s="429"/>
      <c r="AL57" s="429"/>
      <c r="AM57" s="429"/>
      <c r="AN57" s="429"/>
      <c r="AO57" s="429"/>
      <c r="AP57" s="429"/>
      <c r="AQ57" s="427"/>
      <c r="AR57" s="427"/>
      <c r="AS57" s="427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3" t="s">
        <v>81</v>
      </c>
      <c r="D58" s="204"/>
      <c r="E58" s="204"/>
      <c r="H58" s="204"/>
      <c r="I58" s="399"/>
      <c r="J58" s="436"/>
      <c r="L58" s="204"/>
      <c r="M58" s="399"/>
      <c r="N58" s="332"/>
      <c r="P58" s="376"/>
      <c r="Q58" s="376"/>
      <c r="R58" s="376"/>
      <c r="S58" s="376"/>
      <c r="T58" s="465"/>
      <c r="U58" s="466"/>
      <c r="V58" s="467"/>
      <c r="W58" s="468"/>
      <c r="X58" s="469"/>
      <c r="Y58" s="376"/>
      <c r="Z58" s="448"/>
      <c r="AA58" s="280"/>
      <c r="AB58" s="182"/>
      <c r="AC58" s="151"/>
      <c r="AD58" s="152"/>
      <c r="AE58" s="367"/>
      <c r="AF58" s="367"/>
      <c r="AG58" s="367"/>
      <c r="AH58" s="367"/>
      <c r="AI58" s="428"/>
      <c r="AJ58" s="429"/>
      <c r="AK58" s="429"/>
      <c r="AL58" s="429"/>
      <c r="AM58" s="429"/>
      <c r="AN58" s="429"/>
      <c r="AO58" s="429"/>
      <c r="AP58" s="429"/>
      <c r="AQ58" s="427"/>
      <c r="AR58" s="427"/>
      <c r="AS58" s="427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s="12" customFormat="1" ht="12" customHeight="1">
      <c r="A59" s="203" t="s">
        <v>716</v>
      </c>
      <c r="B59" s="541">
        <f>Botdatum</f>
        <v>41745</v>
      </c>
      <c r="C59" s="202" t="str">
        <f>CONCATENATE(A2," - ",A1," - ",ROUND(F26,0),"EBC - ",ROUND(F43,0),"IBU - ",ROUND(VSPalcvol*100+0.5,1),"%")</f>
        <v>Recept 39 - Sterke Blonde Duvel - 6EBC - 36IBU - 9,2%</v>
      </c>
      <c r="D59" s="202"/>
      <c r="E59" s="202"/>
      <c r="F59" s="202"/>
      <c r="G59" s="202"/>
      <c r="I59" s="436"/>
      <c r="J59" s="436"/>
      <c r="K59" s="202"/>
      <c r="L59" s="204"/>
      <c r="M59" s="399"/>
      <c r="N59" s="399"/>
      <c r="O59" s="204"/>
      <c r="P59" s="376"/>
      <c r="Q59" s="376"/>
      <c r="R59" s="376"/>
      <c r="S59" s="376"/>
      <c r="T59" s="465"/>
      <c r="U59" s="466"/>
      <c r="V59" s="467"/>
      <c r="W59" s="468"/>
      <c r="X59" s="469"/>
      <c r="Y59" s="376"/>
      <c r="Z59" s="448"/>
      <c r="AA59" s="403"/>
      <c r="AB59" s="182"/>
      <c r="AC59" s="151"/>
      <c r="AD59" s="152"/>
      <c r="AE59" s="367"/>
      <c r="AF59" s="367"/>
      <c r="AG59" s="367"/>
      <c r="AH59" s="367"/>
      <c r="AI59" s="428"/>
      <c r="AJ59" s="429"/>
      <c r="AK59" s="429"/>
      <c r="AL59" s="429"/>
      <c r="AM59" s="429"/>
      <c r="AN59" s="429"/>
      <c r="AO59" s="429"/>
      <c r="AP59" s="429"/>
      <c r="AQ59" s="427"/>
      <c r="AR59" s="427"/>
      <c r="AS59" s="427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3" t="s">
        <v>82</v>
      </c>
      <c r="B60" s="210"/>
      <c r="C60" s="210"/>
      <c r="D60" s="246"/>
      <c r="H60" s="203"/>
      <c r="I60" s="436"/>
      <c r="J60" s="436"/>
      <c r="K60" s="203"/>
      <c r="M60" s="401"/>
      <c r="N60" s="332"/>
      <c r="P60" s="88"/>
      <c r="Q60" s="88"/>
      <c r="R60" s="88"/>
      <c r="S60" s="88"/>
      <c r="T60" s="465"/>
      <c r="U60" s="466"/>
      <c r="V60" s="467"/>
      <c r="W60" s="468"/>
      <c r="X60" s="469"/>
      <c r="Y60" s="88"/>
      <c r="Z60" s="446"/>
      <c r="AA60" s="403"/>
      <c r="AB60" s="182"/>
      <c r="AC60" s="151"/>
      <c r="AD60" s="152"/>
      <c r="AE60" s="367"/>
      <c r="AF60" s="367"/>
      <c r="AG60" s="367"/>
      <c r="AH60" s="367"/>
      <c r="AI60" s="423"/>
      <c r="AN60" s="429"/>
      <c r="AO60" s="429"/>
      <c r="AP60" s="429"/>
      <c r="AQ60" s="427"/>
      <c r="AR60" s="427"/>
      <c r="AS60" s="427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3" t="s">
        <v>83</v>
      </c>
      <c r="B61" s="203"/>
      <c r="C61" s="211"/>
      <c r="D61" s="203"/>
      <c r="E61" s="203"/>
      <c r="F61" s="203"/>
      <c r="G61" s="203"/>
      <c r="H61" s="203"/>
      <c r="I61" s="436"/>
      <c r="J61" s="436"/>
      <c r="K61" s="203"/>
      <c r="L61" s="203"/>
      <c r="M61" s="332"/>
      <c r="T61" s="465"/>
      <c r="U61" s="466"/>
      <c r="V61" s="467"/>
      <c r="W61" s="468"/>
      <c r="X61" s="469"/>
      <c r="AA61" s="403"/>
      <c r="AB61" s="212"/>
      <c r="AC61" s="151"/>
      <c r="AD61" s="209"/>
      <c r="AE61" s="368"/>
      <c r="AF61" s="368"/>
      <c r="AG61" s="368"/>
      <c r="AH61" s="368"/>
      <c r="AI61" s="428"/>
      <c r="AJ61" s="429"/>
      <c r="AK61" s="429"/>
      <c r="AL61" s="429"/>
      <c r="AM61" s="429"/>
      <c r="AN61" s="429"/>
      <c r="AO61" s="429"/>
      <c r="AP61" s="429"/>
      <c r="AQ61" s="427"/>
      <c r="AR61" s="427"/>
      <c r="AS61" s="427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3" t="s">
        <v>84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400"/>
      <c r="N62" s="400"/>
      <c r="O62" s="203"/>
      <c r="P62" s="376"/>
      <c r="Q62" s="376"/>
      <c r="R62" s="376"/>
      <c r="S62" s="376"/>
      <c r="T62" s="465"/>
      <c r="U62" s="466"/>
      <c r="V62" s="467"/>
      <c r="W62" s="468"/>
      <c r="X62" s="469"/>
      <c r="Y62" s="376"/>
      <c r="Z62" s="448"/>
      <c r="AA62" s="403"/>
      <c r="AB62" s="213"/>
      <c r="AC62" s="151"/>
      <c r="AD62" s="209"/>
      <c r="AE62" s="368"/>
      <c r="AF62" s="368"/>
      <c r="AG62" s="368"/>
      <c r="AH62" s="368"/>
      <c r="AI62" s="428"/>
      <c r="AJ62" s="429"/>
      <c r="AK62" s="429"/>
      <c r="AL62" s="429"/>
      <c r="AM62" s="429"/>
      <c r="AN62" s="429"/>
      <c r="AO62" s="429"/>
      <c r="AP62" s="429"/>
      <c r="AQ62" s="427"/>
      <c r="AR62" s="427"/>
      <c r="AS62" s="427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3" t="s">
        <v>85</v>
      </c>
      <c r="B63" s="203"/>
      <c r="C63" s="203"/>
      <c r="D63" s="203"/>
      <c r="E63" s="214"/>
      <c r="F63" s="203"/>
      <c r="G63" s="214"/>
      <c r="H63" s="203"/>
      <c r="I63" s="203"/>
      <c r="J63" s="203"/>
      <c r="K63" s="203"/>
      <c r="L63" s="203"/>
      <c r="M63" s="400"/>
      <c r="N63" s="400"/>
      <c r="O63" s="203"/>
      <c r="P63" s="376"/>
      <c r="Q63" s="376"/>
      <c r="R63" s="376"/>
      <c r="S63" s="376"/>
      <c r="T63" s="465"/>
      <c r="U63" s="466"/>
      <c r="V63" s="467"/>
      <c r="W63" s="468"/>
      <c r="X63" s="469"/>
      <c r="Y63" s="376"/>
      <c r="Z63" s="448"/>
      <c r="AA63" s="403"/>
      <c r="AB63" s="182"/>
      <c r="AC63" s="151"/>
      <c r="AD63" s="209"/>
      <c r="AE63" s="368"/>
      <c r="AF63" s="368"/>
      <c r="AG63" s="368"/>
      <c r="AH63" s="368"/>
      <c r="AI63" s="428"/>
      <c r="AJ63" s="429"/>
      <c r="AK63" s="429"/>
      <c r="AL63" s="429"/>
      <c r="AM63" s="429"/>
      <c r="AN63" s="429"/>
      <c r="AO63" s="429"/>
      <c r="AP63" s="429"/>
      <c r="AQ63" s="427"/>
      <c r="AR63" s="427"/>
      <c r="AS63" s="427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3" t="s">
        <v>86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400"/>
      <c r="N64" s="400"/>
      <c r="O64" s="203"/>
      <c r="P64" s="376"/>
      <c r="Q64" s="376"/>
      <c r="R64" s="376"/>
      <c r="S64" s="376"/>
      <c r="T64" s="465"/>
      <c r="U64" s="466"/>
      <c r="V64" s="467"/>
      <c r="W64" s="468"/>
      <c r="X64" s="469"/>
      <c r="Y64" s="376"/>
      <c r="Z64" s="448"/>
      <c r="AA64" s="403"/>
      <c r="AB64" s="182"/>
      <c r="AC64" s="151"/>
      <c r="AD64" s="209"/>
      <c r="AE64" s="368"/>
      <c r="AF64" s="368"/>
      <c r="AG64" s="368"/>
      <c r="AH64" s="368"/>
      <c r="AI64" s="428"/>
      <c r="AJ64" s="429"/>
      <c r="AK64" s="429"/>
      <c r="AL64" s="429"/>
      <c r="AM64" s="429"/>
      <c r="AN64" s="429"/>
      <c r="AO64" s="429"/>
      <c r="AP64" s="429"/>
      <c r="AQ64" s="427"/>
      <c r="AR64" s="427"/>
      <c r="AS64" s="427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3" t="s">
        <v>87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400"/>
      <c r="N65" s="400"/>
      <c r="O65" s="203"/>
      <c r="P65" s="376"/>
      <c r="Q65" s="376"/>
      <c r="R65" s="376"/>
      <c r="S65" s="376"/>
      <c r="T65" s="465"/>
      <c r="U65" s="466"/>
      <c r="V65" s="467"/>
      <c r="W65" s="468"/>
      <c r="X65" s="469"/>
      <c r="Y65" s="376"/>
      <c r="Z65" s="448"/>
      <c r="AA65" s="403"/>
      <c r="AB65" s="182"/>
      <c r="AC65" s="151"/>
      <c r="AD65" s="209"/>
      <c r="AE65" s="368"/>
      <c r="AF65" s="368"/>
      <c r="AG65" s="368"/>
      <c r="AH65" s="368"/>
      <c r="AI65" s="423"/>
      <c r="AN65" s="429"/>
      <c r="AO65" s="429"/>
      <c r="AP65" s="429"/>
      <c r="AQ65" s="427"/>
      <c r="AR65" s="427"/>
      <c r="AS65" s="427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400"/>
      <c r="N66" s="400"/>
      <c r="O66" s="203"/>
      <c r="P66" s="376"/>
      <c r="Q66" s="376"/>
      <c r="R66" s="376"/>
      <c r="S66" s="376"/>
      <c r="T66" s="465"/>
      <c r="U66" s="466"/>
      <c r="V66" s="467"/>
      <c r="W66" s="468"/>
      <c r="X66" s="469"/>
      <c r="Y66" s="376"/>
      <c r="Z66" s="448"/>
      <c r="AA66" s="403"/>
      <c r="AB66" s="182"/>
      <c r="AC66" s="151"/>
      <c r="AD66" s="209"/>
      <c r="AE66" s="368"/>
      <c r="AF66" s="368"/>
      <c r="AG66" s="368"/>
      <c r="AH66" s="368"/>
      <c r="AI66" s="428"/>
      <c r="AJ66" s="429"/>
      <c r="AK66" s="429"/>
      <c r="AL66" s="429"/>
      <c r="AM66" s="429"/>
      <c r="AN66" s="429"/>
      <c r="AO66" s="429"/>
      <c r="AP66" s="429"/>
      <c r="AQ66" s="427"/>
      <c r="AR66" s="427"/>
      <c r="AS66" s="427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400"/>
      <c r="N67" s="400"/>
      <c r="O67" s="203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448"/>
      <c r="AA67" s="403"/>
      <c r="AB67" s="182"/>
      <c r="AC67" s="151"/>
      <c r="AD67" s="209"/>
      <c r="AE67" s="368"/>
      <c r="AF67" s="368"/>
      <c r="AG67" s="368"/>
      <c r="AH67" s="368"/>
      <c r="AI67" s="428"/>
      <c r="AJ67" s="429"/>
      <c r="AK67" s="429"/>
      <c r="AL67" s="429"/>
      <c r="AM67" s="429"/>
      <c r="AN67" s="429"/>
      <c r="AO67" s="429"/>
      <c r="AP67" s="429"/>
      <c r="AQ67" s="427"/>
      <c r="AR67" s="427"/>
      <c r="AS67" s="427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471" t="s">
        <v>680</v>
      </c>
      <c r="O68" s="472"/>
      <c r="P68" s="473"/>
      <c r="Q68" s="473"/>
      <c r="R68" s="473"/>
      <c r="S68" s="473"/>
      <c r="T68" s="473"/>
      <c r="U68" s="473"/>
      <c r="V68" s="473"/>
      <c r="W68" s="473"/>
      <c r="X68" s="473"/>
      <c r="Y68" s="473"/>
      <c r="Z68" s="474"/>
      <c r="AA68" s="403"/>
      <c r="AB68" s="182"/>
      <c r="AC68" s="151"/>
      <c r="AD68" s="209"/>
      <c r="AE68" s="368"/>
      <c r="AF68" s="368"/>
      <c r="AG68" s="368"/>
      <c r="AH68" s="368"/>
      <c r="AI68" s="423"/>
      <c r="AN68" s="429"/>
      <c r="AO68" s="429"/>
      <c r="AP68" s="429"/>
      <c r="AQ68" s="427"/>
      <c r="AR68" s="427"/>
      <c r="AS68" s="427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3"/>
      <c r="K69" s="203"/>
      <c r="L69" s="203"/>
      <c r="M69" s="203"/>
      <c r="N69" s="400"/>
      <c r="O69" s="203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448"/>
      <c r="AA69" s="403"/>
      <c r="AB69" s="182"/>
      <c r="AC69" s="151"/>
      <c r="AD69" s="209"/>
      <c r="AE69" s="368"/>
      <c r="AF69" s="368"/>
      <c r="AG69" s="368"/>
      <c r="AH69" s="368"/>
      <c r="AI69" s="428"/>
      <c r="AJ69" s="429"/>
      <c r="AK69" s="429"/>
      <c r="AL69" s="429"/>
      <c r="AM69" s="429"/>
      <c r="AN69" s="429"/>
      <c r="AO69" s="429"/>
      <c r="AP69" s="429"/>
      <c r="AQ69" s="427"/>
      <c r="AR69" s="427"/>
      <c r="AS69" s="427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3"/>
      <c r="C70" s="11"/>
      <c r="D70" s="203"/>
      <c r="E70" s="203"/>
      <c r="F70" s="203"/>
      <c r="G70" s="203"/>
      <c r="H70" s="203"/>
      <c r="I70" s="203"/>
      <c r="M70" s="204"/>
      <c r="N70" s="399"/>
      <c r="O70" s="204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448"/>
      <c r="AA70" s="403"/>
      <c r="AB70" s="209"/>
      <c r="AC70" s="151"/>
      <c r="AD70" s="209"/>
      <c r="AE70" s="368"/>
      <c r="AF70" s="368"/>
      <c r="AG70" s="368"/>
      <c r="AH70" s="368"/>
      <c r="AI70" s="423"/>
      <c r="AN70" s="429"/>
      <c r="AO70" s="429"/>
      <c r="AP70" s="429"/>
      <c r="AQ70" s="427"/>
      <c r="AR70" s="427"/>
      <c r="AS70" s="427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79"/>
      <c r="D71" s="351"/>
      <c r="M71" s="334"/>
      <c r="N71" s="336"/>
      <c r="O71" s="34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449"/>
      <c r="AA71" s="404"/>
      <c r="AB71" s="209"/>
      <c r="AC71" s="151"/>
      <c r="AD71" s="209"/>
      <c r="AE71" s="368"/>
      <c r="AF71" s="368"/>
      <c r="AG71" s="368"/>
      <c r="AH71" s="368"/>
      <c r="AI71" s="428"/>
      <c r="AJ71" s="429"/>
      <c r="AK71" s="429"/>
      <c r="AL71" s="429"/>
      <c r="AM71" s="429"/>
      <c r="AN71" s="429"/>
      <c r="AO71" s="429"/>
      <c r="AP71" s="429"/>
      <c r="AQ71" s="427"/>
      <c r="AR71" s="427"/>
      <c r="AS71" s="427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39" t="s">
        <v>662</v>
      </c>
      <c r="B72" s="500" t="s">
        <v>638</v>
      </c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334"/>
      <c r="N72" s="336"/>
      <c r="O72" s="34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449"/>
      <c r="AA72" s="404"/>
      <c r="AB72" s="209"/>
      <c r="AC72" s="151"/>
      <c r="AD72" s="209"/>
      <c r="AE72" s="368"/>
      <c r="AF72" s="368"/>
      <c r="AG72" s="368"/>
      <c r="AH72" s="368"/>
      <c r="AI72" s="428"/>
      <c r="AJ72" s="429"/>
      <c r="AK72" s="429"/>
      <c r="AL72" s="429"/>
      <c r="AM72" s="429"/>
      <c r="AN72" s="429"/>
      <c r="AO72" s="429"/>
      <c r="AP72" s="429"/>
      <c r="AQ72" s="427"/>
      <c r="AR72" s="427"/>
      <c r="AS72" s="427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8"/>
      <c r="B73" s="340" t="s">
        <v>637</v>
      </c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35"/>
      <c r="N73" s="336"/>
      <c r="O73" s="34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449"/>
      <c r="AA73" s="404"/>
      <c r="AB73" s="209"/>
      <c r="AC73" s="151"/>
      <c r="AD73" s="209"/>
      <c r="AE73" s="368"/>
      <c r="AF73" s="368"/>
      <c r="AG73" s="368"/>
      <c r="AH73" s="368"/>
      <c r="AI73" s="428"/>
      <c r="AJ73" s="429"/>
      <c r="AK73" s="429"/>
      <c r="AL73" s="429"/>
      <c r="AM73" s="429"/>
      <c r="AN73" s="429"/>
      <c r="AO73" s="429"/>
      <c r="AP73" s="429"/>
      <c r="AQ73" s="427"/>
      <c r="AR73" s="427"/>
      <c r="AS73" s="427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8"/>
      <c r="B74" s="340" t="s">
        <v>639</v>
      </c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34"/>
      <c r="N74" s="336"/>
      <c r="O74" s="34"/>
      <c r="P74" s="381"/>
      <c r="Q74" s="381"/>
      <c r="R74" s="381"/>
      <c r="S74" s="381"/>
      <c r="T74" s="381"/>
      <c r="U74" s="381"/>
      <c r="V74" s="381"/>
      <c r="W74" s="381"/>
      <c r="X74" s="381"/>
      <c r="Y74" s="381"/>
      <c r="Z74" s="449"/>
      <c r="AA74" s="404"/>
      <c r="AB74" s="209"/>
      <c r="AC74" s="151"/>
      <c r="AD74" s="209"/>
      <c r="AE74" s="368"/>
      <c r="AF74" s="368"/>
      <c r="AG74" s="368"/>
      <c r="AH74" s="368"/>
      <c r="AI74" s="423"/>
      <c r="AN74" s="429"/>
      <c r="AO74" s="429"/>
      <c r="AP74" s="429"/>
      <c r="AQ74" s="427"/>
      <c r="AR74" s="427"/>
      <c r="AS74" s="427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8"/>
      <c r="B75" s="340" t="s">
        <v>661</v>
      </c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36"/>
      <c r="N75" s="336"/>
      <c r="O75" s="34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449"/>
      <c r="AA75" s="404"/>
      <c r="AB75" s="209"/>
      <c r="AC75" s="151"/>
      <c r="AD75" s="209"/>
      <c r="AE75" s="368"/>
      <c r="AF75" s="368"/>
      <c r="AG75" s="368"/>
      <c r="AH75" s="368"/>
      <c r="AI75" s="423"/>
      <c r="AN75" s="429"/>
      <c r="AO75" s="429"/>
      <c r="AP75" s="429"/>
      <c r="AQ75" s="427"/>
      <c r="AR75" s="427"/>
      <c r="AS75" s="427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8"/>
      <c r="B76" s="340" t="s">
        <v>667</v>
      </c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34"/>
      <c r="N76" s="336"/>
      <c r="O76" s="34"/>
      <c r="P76" s="381"/>
      <c r="Q76" s="381"/>
      <c r="R76" s="381"/>
      <c r="S76" s="381"/>
      <c r="T76" s="381"/>
      <c r="U76" s="381"/>
      <c r="V76" s="381"/>
      <c r="W76" s="381"/>
      <c r="X76" s="381"/>
      <c r="Y76" s="381"/>
      <c r="Z76" s="449"/>
      <c r="AA76" s="404"/>
      <c r="AB76" s="209"/>
      <c r="AC76" s="151"/>
      <c r="AD76" s="209"/>
      <c r="AE76" s="368"/>
      <c r="AF76" s="368"/>
      <c r="AG76" s="368"/>
      <c r="AH76" s="368"/>
      <c r="AI76" s="423"/>
      <c r="AN76" s="429"/>
      <c r="AO76" s="429"/>
      <c r="AP76" s="429"/>
      <c r="AQ76" s="427"/>
      <c r="AR76" s="427"/>
      <c r="AS76" s="427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8"/>
      <c r="B77" s="340" t="s">
        <v>663</v>
      </c>
      <c r="C77" s="341"/>
      <c r="D77" s="341"/>
      <c r="E77" s="341"/>
      <c r="F77" s="341"/>
      <c r="G77" s="341"/>
      <c r="H77" s="341"/>
      <c r="I77" s="341"/>
      <c r="J77" s="341"/>
      <c r="K77" s="341"/>
      <c r="L77" s="341"/>
      <c r="M77" s="334"/>
      <c r="N77" s="336"/>
      <c r="O77" s="34"/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Z77" s="449"/>
      <c r="AA77" s="404"/>
      <c r="AC77" s="61"/>
      <c r="AE77" s="366"/>
      <c r="AF77" s="366"/>
      <c r="AG77" s="366"/>
      <c r="AH77" s="366"/>
      <c r="AI77" s="423"/>
      <c r="AN77" s="429"/>
      <c r="AO77" s="429"/>
      <c r="AP77" s="429"/>
      <c r="AQ77" s="427"/>
      <c r="AR77" s="427"/>
      <c r="AS77" s="427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8"/>
      <c r="B78" s="340" t="s">
        <v>687</v>
      </c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34"/>
      <c r="N78" s="336"/>
      <c r="O78" s="34"/>
      <c r="P78" s="381"/>
      <c r="Q78" s="381"/>
      <c r="R78" s="381"/>
      <c r="S78" s="381"/>
      <c r="T78" s="381"/>
      <c r="U78" s="381"/>
      <c r="V78" s="381"/>
      <c r="W78" s="381"/>
      <c r="X78" s="381"/>
      <c r="Y78" s="381"/>
      <c r="Z78" s="449"/>
      <c r="AA78" s="404"/>
      <c r="AC78" s="61"/>
      <c r="AE78" s="366"/>
      <c r="AF78" s="366"/>
      <c r="AG78" s="366"/>
      <c r="AH78" s="366"/>
      <c r="AI78" s="423"/>
      <c r="AN78" s="429"/>
      <c r="AO78" s="429"/>
      <c r="AP78" s="429"/>
      <c r="AQ78" s="427"/>
      <c r="AR78" s="427"/>
      <c r="AS78" s="427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8"/>
      <c r="B79" s="340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34"/>
      <c r="N79" s="336"/>
      <c r="O79" s="34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449"/>
      <c r="AA79" s="404"/>
      <c r="AC79" s="61"/>
      <c r="AE79" s="366"/>
      <c r="AF79" s="366"/>
      <c r="AG79" s="366"/>
      <c r="AH79" s="366"/>
      <c r="AI79" s="423"/>
      <c r="AN79" s="429"/>
      <c r="AO79" s="429"/>
      <c r="AP79" s="429"/>
      <c r="AQ79" s="427"/>
      <c r="AR79" s="427"/>
      <c r="AS79" s="427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8"/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34"/>
      <c r="N80" s="336"/>
      <c r="O80" s="34"/>
      <c r="P80" s="381"/>
      <c r="Q80" s="381"/>
      <c r="R80" s="381"/>
      <c r="S80" s="381"/>
      <c r="T80" s="381"/>
      <c r="U80" s="381"/>
      <c r="V80" s="381"/>
      <c r="W80" s="381"/>
      <c r="X80" s="381"/>
      <c r="Y80" s="381"/>
      <c r="Z80" s="449"/>
      <c r="AA80" s="404"/>
      <c r="AC80" s="61"/>
      <c r="AE80" s="366"/>
      <c r="AF80" s="366"/>
      <c r="AG80" s="366"/>
      <c r="AH80" s="366"/>
      <c r="AI80" s="423"/>
      <c r="AN80" s="429"/>
      <c r="AO80" s="429"/>
      <c r="AP80" s="429"/>
      <c r="AQ80" s="427"/>
      <c r="AR80" s="427"/>
      <c r="AS80" s="427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8"/>
      <c r="B81" s="341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34"/>
      <c r="N81" s="336"/>
      <c r="O81" s="34"/>
      <c r="P81" s="381"/>
      <c r="Q81" s="381"/>
      <c r="R81" s="381"/>
      <c r="S81" s="381"/>
      <c r="T81" s="381"/>
      <c r="U81" s="381"/>
      <c r="V81" s="381"/>
      <c r="W81" s="381"/>
      <c r="X81" s="381"/>
      <c r="Y81" s="381"/>
      <c r="Z81" s="449"/>
      <c r="AA81" s="404"/>
      <c r="AC81" s="61"/>
      <c r="AE81" s="366"/>
      <c r="AF81" s="366"/>
      <c r="AG81" s="366"/>
      <c r="AH81" s="366"/>
      <c r="AI81" s="423"/>
      <c r="AN81" s="429"/>
      <c r="AO81" s="429"/>
      <c r="AP81" s="429"/>
      <c r="AQ81" s="427"/>
      <c r="AR81" s="427"/>
      <c r="AS81" s="427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8"/>
      <c r="B82" s="341"/>
      <c r="C82" s="341"/>
      <c r="D82" s="341"/>
      <c r="E82" s="341"/>
      <c r="F82" s="341"/>
      <c r="G82" s="341"/>
      <c r="H82" s="341"/>
      <c r="I82" s="341"/>
      <c r="J82" s="341"/>
      <c r="K82" s="341"/>
      <c r="L82" s="341"/>
      <c r="M82" s="334"/>
      <c r="N82" s="336"/>
      <c r="O82" s="34"/>
      <c r="P82" s="381"/>
      <c r="Q82" s="381"/>
      <c r="R82" s="381"/>
      <c r="S82" s="381"/>
      <c r="T82" s="381"/>
      <c r="U82" s="381"/>
      <c r="V82" s="381"/>
      <c r="W82" s="381"/>
      <c r="X82" s="381"/>
      <c r="Y82" s="381"/>
      <c r="Z82" s="449"/>
      <c r="AA82" s="404"/>
      <c r="AC82" s="61"/>
      <c r="AE82" s="366"/>
      <c r="AF82" s="366"/>
      <c r="AG82" s="366"/>
      <c r="AH82" s="366"/>
      <c r="AI82" s="423"/>
      <c r="AN82" s="429"/>
      <c r="AO82" s="429"/>
      <c r="AP82" s="429"/>
      <c r="AQ82" s="427"/>
      <c r="AR82" s="427"/>
      <c r="AS82" s="427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8"/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34"/>
      <c r="N83" s="336"/>
      <c r="O83" s="34"/>
      <c r="P83" s="381"/>
      <c r="Q83" s="381"/>
      <c r="R83" s="381"/>
      <c r="S83" s="381"/>
      <c r="T83" s="381"/>
      <c r="U83" s="381"/>
      <c r="V83" s="381"/>
      <c r="W83" s="381"/>
      <c r="X83" s="381"/>
      <c r="Y83" s="381"/>
      <c r="Z83" s="449"/>
      <c r="AA83" s="404"/>
      <c r="AC83" s="61"/>
      <c r="AE83" s="366"/>
      <c r="AF83" s="366"/>
      <c r="AG83" s="366"/>
      <c r="AH83" s="366"/>
      <c r="AI83" s="423"/>
      <c r="AN83" s="429"/>
      <c r="AO83" s="429"/>
      <c r="AP83" s="429"/>
      <c r="AQ83" s="427"/>
      <c r="AR83" s="427"/>
      <c r="AS83" s="427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8"/>
      <c r="B84" s="341"/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34"/>
      <c r="N84" s="336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6"/>
      <c r="AA84" s="332"/>
      <c r="AC84" s="61"/>
      <c r="AE84" s="366"/>
      <c r="AF84" s="366"/>
      <c r="AG84" s="366"/>
      <c r="AH84" s="366"/>
      <c r="AI84" s="423"/>
      <c r="AN84" s="429"/>
      <c r="AO84" s="429"/>
      <c r="AP84" s="429"/>
      <c r="AQ84" s="427"/>
      <c r="AR84" s="427"/>
      <c r="AS84" s="427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8"/>
      <c r="B85" s="341"/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34"/>
      <c r="N85" s="336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6"/>
      <c r="AA85" s="332"/>
      <c r="AC85" s="61"/>
      <c r="AE85" s="366"/>
      <c r="AF85" s="366"/>
      <c r="AG85" s="366"/>
      <c r="AH85" s="366"/>
      <c r="AI85" s="423"/>
      <c r="AN85" s="429"/>
      <c r="AO85" s="429"/>
      <c r="AP85" s="429"/>
      <c r="AQ85" s="427"/>
      <c r="AR85" s="427"/>
      <c r="AS85" s="427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8"/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34"/>
      <c r="N86" s="336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6"/>
      <c r="AA86" s="332"/>
      <c r="AC86" s="61"/>
      <c r="AE86" s="366"/>
      <c r="AF86" s="366"/>
      <c r="AG86" s="366"/>
      <c r="AH86" s="366"/>
      <c r="AI86" s="423"/>
      <c r="AN86" s="429"/>
      <c r="AO86" s="429"/>
      <c r="AP86" s="429"/>
      <c r="AQ86" s="427"/>
      <c r="AR86" s="427"/>
      <c r="AS86" s="427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8"/>
      <c r="B87" s="338"/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4"/>
      <c r="N87" s="336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6"/>
      <c r="AA87" s="332"/>
      <c r="AC87" s="61"/>
      <c r="AE87" s="366"/>
      <c r="AF87" s="366"/>
      <c r="AG87" s="366"/>
      <c r="AH87" s="366"/>
      <c r="AI87" s="423"/>
      <c r="AN87" s="429"/>
      <c r="AO87" s="429"/>
      <c r="AP87" s="429"/>
      <c r="AQ87" s="427"/>
      <c r="AR87" s="427"/>
      <c r="AS87" s="427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8"/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7"/>
      <c r="N88" s="407"/>
      <c r="AC88" s="215"/>
      <c r="AN88" s="429"/>
      <c r="AO88" s="429"/>
      <c r="AP88" s="429"/>
      <c r="AQ88" s="427"/>
      <c r="AR88" s="427"/>
      <c r="AS88" s="427"/>
      <c r="AT88" s="2"/>
    </row>
    <row r="89" spans="1:46" ht="13.5">
      <c r="A89" s="338"/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7"/>
      <c r="N89" s="407"/>
      <c r="AC89" s="215"/>
      <c r="AN89" s="429"/>
      <c r="AO89" s="429"/>
      <c r="AP89" s="429"/>
      <c r="AQ89" s="427"/>
      <c r="AR89" s="427"/>
      <c r="AS89" s="427"/>
      <c r="AT89" s="2"/>
    </row>
    <row r="90" spans="1:46" ht="13.5">
      <c r="A90" s="338"/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7"/>
      <c r="N90" s="407"/>
      <c r="AC90" s="215"/>
      <c r="AN90" s="429"/>
      <c r="AO90" s="429"/>
      <c r="AP90" s="429"/>
      <c r="AQ90" s="427"/>
      <c r="AR90" s="427"/>
      <c r="AS90" s="427"/>
      <c r="AT90" s="2"/>
    </row>
    <row r="91" spans="1:46" ht="13.5">
      <c r="A91" s="338"/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7"/>
      <c r="N91" s="407"/>
      <c r="AC91" s="215"/>
      <c r="AN91" s="429"/>
      <c r="AO91" s="429"/>
      <c r="AP91" s="429"/>
      <c r="AQ91" s="427"/>
      <c r="AR91" s="427"/>
      <c r="AS91" s="427"/>
      <c r="AT91" s="2"/>
    </row>
    <row r="92" spans="1:46" ht="13.5">
      <c r="A92" s="338"/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7"/>
      <c r="N92" s="407"/>
      <c r="AC92" s="215"/>
      <c r="AN92" s="429"/>
      <c r="AO92" s="429"/>
      <c r="AP92" s="429"/>
      <c r="AQ92" s="427"/>
      <c r="AR92" s="427"/>
      <c r="AS92" s="427"/>
      <c r="AT92" s="2"/>
    </row>
    <row r="93" spans="1:46" ht="13.5">
      <c r="A93" s="338"/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7"/>
      <c r="N93" s="407"/>
      <c r="AC93" s="215"/>
      <c r="AN93" s="429"/>
      <c r="AO93" s="429"/>
      <c r="AP93" s="429"/>
      <c r="AQ93" s="427"/>
      <c r="AR93" s="427"/>
      <c r="AS93" s="427"/>
      <c r="AT93" s="2"/>
    </row>
    <row r="94" spans="1:58" s="125" customFormat="1" ht="13.5">
      <c r="A94" s="338"/>
      <c r="B94" s="338"/>
      <c r="C94" s="338"/>
      <c r="D94" s="338"/>
      <c r="E94" s="338"/>
      <c r="F94" s="338"/>
      <c r="G94" s="338"/>
      <c r="H94" s="338"/>
      <c r="I94" s="338"/>
      <c r="J94" s="338"/>
      <c r="K94" s="338"/>
      <c r="L94" s="338"/>
      <c r="M94" s="337"/>
      <c r="N94" s="407"/>
      <c r="P94" s="381"/>
      <c r="Q94" s="381"/>
      <c r="R94" s="381"/>
      <c r="S94" s="381"/>
      <c r="T94" s="381"/>
      <c r="U94" s="381"/>
      <c r="V94" s="381"/>
      <c r="W94" s="381"/>
      <c r="X94" s="381"/>
      <c r="Y94" s="381"/>
      <c r="Z94" s="449"/>
      <c r="AA94" s="405"/>
      <c r="AC94" s="216"/>
      <c r="AE94" s="366"/>
      <c r="AF94" s="366"/>
      <c r="AG94" s="366"/>
      <c r="AH94" s="366"/>
      <c r="AI94" s="424"/>
      <c r="AN94" s="429"/>
      <c r="AO94" s="429"/>
      <c r="AP94" s="429"/>
      <c r="AQ94" s="427"/>
      <c r="AR94" s="427"/>
      <c r="AS94" s="427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5" customFormat="1" ht="13.5">
      <c r="A95" s="338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7"/>
      <c r="N95" s="407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449"/>
      <c r="AA95" s="405"/>
      <c r="AC95" s="216"/>
      <c r="AE95" s="366"/>
      <c r="AF95" s="366"/>
      <c r="AG95" s="366"/>
      <c r="AH95" s="366"/>
      <c r="AI95" s="424"/>
      <c r="AN95" s="429"/>
      <c r="AO95" s="429"/>
      <c r="AP95" s="429"/>
      <c r="AQ95" s="427"/>
      <c r="AR95" s="427"/>
      <c r="AS95" s="427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5" customFormat="1" ht="15.75" customHeight="1">
      <c r="A96" s="338"/>
      <c r="B96" s="338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7"/>
      <c r="N96" s="407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449"/>
      <c r="AA96" s="405"/>
      <c r="AC96" s="216"/>
      <c r="AE96" s="366"/>
      <c r="AF96" s="366"/>
      <c r="AG96" s="366"/>
      <c r="AH96" s="366"/>
      <c r="AI96" s="424"/>
      <c r="AN96" s="429"/>
      <c r="AO96" s="429"/>
      <c r="AP96" s="429"/>
      <c r="AQ96" s="427"/>
      <c r="AR96" s="427"/>
      <c r="AS96" s="427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8"/>
      <c r="B97" s="338"/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4"/>
      <c r="N97" s="336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449"/>
      <c r="AA97" s="404"/>
      <c r="AC97" s="104"/>
      <c r="AE97" s="366"/>
      <c r="AF97" s="366"/>
      <c r="AG97" s="366"/>
      <c r="AH97" s="366"/>
      <c r="AI97" s="425"/>
      <c r="AN97" s="429"/>
      <c r="AO97" s="429"/>
      <c r="AP97" s="429"/>
      <c r="AQ97" s="427"/>
      <c r="AR97" s="427"/>
      <c r="AS97" s="427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8"/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4"/>
      <c r="N98" s="336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449"/>
      <c r="AA98" s="404"/>
      <c r="AC98" s="104"/>
      <c r="AE98" s="366"/>
      <c r="AF98" s="366"/>
      <c r="AG98" s="366"/>
      <c r="AH98" s="366"/>
      <c r="AI98" s="425"/>
      <c r="AN98" s="429"/>
      <c r="AO98" s="429"/>
      <c r="AP98" s="429"/>
      <c r="AQ98" s="427"/>
      <c r="AR98" s="427"/>
      <c r="AS98" s="427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8"/>
      <c r="B99" s="338"/>
      <c r="C99" s="338"/>
      <c r="D99" s="338"/>
      <c r="E99" s="338"/>
      <c r="F99" s="338"/>
      <c r="G99" s="338"/>
      <c r="H99" s="338"/>
      <c r="I99" s="338"/>
      <c r="J99" s="338"/>
      <c r="K99" s="338"/>
      <c r="L99" s="338"/>
      <c r="M99" s="334"/>
      <c r="N99" s="336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449"/>
      <c r="AA99" s="404"/>
      <c r="AC99" s="104"/>
      <c r="AE99" s="366"/>
      <c r="AF99" s="366"/>
      <c r="AG99" s="366"/>
      <c r="AH99" s="366"/>
      <c r="AI99" s="425"/>
      <c r="AN99" s="429"/>
      <c r="AO99" s="429"/>
      <c r="AP99" s="429"/>
      <c r="AQ99" s="427"/>
      <c r="AR99" s="427"/>
      <c r="AS99" s="427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8"/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  <c r="M100" s="334"/>
      <c r="N100" s="336"/>
      <c r="P100" s="381"/>
      <c r="Q100" s="381"/>
      <c r="R100" s="381"/>
      <c r="S100" s="381"/>
      <c r="T100" s="381"/>
      <c r="U100" s="381"/>
      <c r="V100" s="381"/>
      <c r="W100" s="381"/>
      <c r="X100" s="381"/>
      <c r="Y100" s="381"/>
      <c r="Z100" s="449"/>
      <c r="AA100" s="404"/>
      <c r="AC100" s="104"/>
      <c r="AE100" s="366"/>
      <c r="AF100" s="366"/>
      <c r="AG100" s="366"/>
      <c r="AH100" s="366"/>
      <c r="AI100" s="425"/>
      <c r="AN100" s="429"/>
      <c r="AO100" s="429"/>
      <c r="AP100" s="429"/>
      <c r="AQ100" s="427"/>
      <c r="AR100" s="427"/>
      <c r="AS100" s="427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8"/>
      <c r="B101" s="338"/>
      <c r="C101" s="338"/>
      <c r="D101" s="338"/>
      <c r="E101" s="338"/>
      <c r="F101" s="338"/>
      <c r="G101" s="338"/>
      <c r="H101" s="338"/>
      <c r="I101" s="338"/>
      <c r="J101" s="338"/>
      <c r="K101" s="338"/>
      <c r="L101" s="338"/>
      <c r="M101" s="334"/>
      <c r="N101" s="336"/>
      <c r="P101" s="381"/>
      <c r="Q101" s="381"/>
      <c r="R101" s="381"/>
      <c r="S101" s="381"/>
      <c r="T101" s="381"/>
      <c r="U101" s="381"/>
      <c r="V101" s="381"/>
      <c r="W101" s="381"/>
      <c r="X101" s="381"/>
      <c r="Y101" s="381"/>
      <c r="Z101" s="449"/>
      <c r="AA101" s="404"/>
      <c r="AC101" s="104"/>
      <c r="AE101" s="366"/>
      <c r="AF101" s="366"/>
      <c r="AG101" s="366"/>
      <c r="AH101" s="366"/>
      <c r="AI101" s="425"/>
      <c r="AN101" s="429"/>
      <c r="AO101" s="429"/>
      <c r="AP101" s="429"/>
      <c r="AQ101" s="427"/>
      <c r="AR101" s="427"/>
      <c r="AS101" s="427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8"/>
      <c r="B102" s="338"/>
      <c r="C102" s="338"/>
      <c r="D102" s="338"/>
      <c r="E102" s="338"/>
      <c r="F102" s="338"/>
      <c r="G102" s="338"/>
      <c r="H102" s="338"/>
      <c r="I102" s="338"/>
      <c r="J102" s="338"/>
      <c r="K102" s="338"/>
      <c r="L102" s="338"/>
      <c r="M102" s="334"/>
      <c r="N102" s="336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449"/>
      <c r="AA102" s="404"/>
      <c r="AC102" s="104"/>
      <c r="AE102" s="366"/>
      <c r="AF102" s="366"/>
      <c r="AG102" s="366"/>
      <c r="AH102" s="366"/>
      <c r="AI102" s="425"/>
      <c r="AN102" s="429"/>
      <c r="AO102" s="429"/>
      <c r="AP102" s="429"/>
      <c r="AQ102" s="427"/>
      <c r="AR102" s="427"/>
      <c r="AS102" s="427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8"/>
      <c r="B103" s="338"/>
      <c r="C103" s="338"/>
      <c r="D103" s="338"/>
      <c r="E103" s="338"/>
      <c r="F103" s="338"/>
      <c r="G103" s="338"/>
      <c r="H103" s="338"/>
      <c r="I103" s="338"/>
      <c r="J103" s="338"/>
      <c r="K103" s="338"/>
      <c r="L103" s="338"/>
      <c r="M103" s="334"/>
      <c r="N103" s="336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449"/>
      <c r="AA103" s="404"/>
      <c r="AC103" s="104"/>
      <c r="AE103" s="366"/>
      <c r="AF103" s="366"/>
      <c r="AG103" s="366"/>
      <c r="AH103" s="366"/>
      <c r="AI103" s="425"/>
      <c r="AN103" s="429"/>
      <c r="AO103" s="429"/>
      <c r="AP103" s="429"/>
      <c r="AQ103" s="427"/>
      <c r="AR103" s="427"/>
      <c r="AS103" s="427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5" customFormat="1" ht="13.5">
      <c r="A104" s="338"/>
      <c r="B104" s="338"/>
      <c r="C104" s="338"/>
      <c r="D104" s="338"/>
      <c r="E104" s="338"/>
      <c r="F104" s="338"/>
      <c r="G104" s="338"/>
      <c r="H104" s="338"/>
      <c r="I104" s="338"/>
      <c r="J104" s="338"/>
      <c r="K104" s="338"/>
      <c r="L104" s="338"/>
      <c r="M104" s="337"/>
      <c r="N104" s="407"/>
      <c r="P104" s="381"/>
      <c r="Q104" s="381"/>
      <c r="R104" s="381"/>
      <c r="S104" s="381"/>
      <c r="T104" s="381"/>
      <c r="U104" s="381"/>
      <c r="V104" s="381"/>
      <c r="W104" s="381"/>
      <c r="X104" s="381"/>
      <c r="Y104" s="381"/>
      <c r="Z104" s="449"/>
      <c r="AA104" s="405"/>
      <c r="AC104" s="216"/>
      <c r="AE104" s="366"/>
      <c r="AF104" s="366"/>
      <c r="AG104" s="366"/>
      <c r="AH104" s="366"/>
      <c r="AI104" s="424"/>
      <c r="AN104" s="429"/>
      <c r="AO104" s="429"/>
      <c r="AP104" s="429"/>
      <c r="AQ104" s="427"/>
      <c r="AR104" s="427"/>
      <c r="AS104" s="427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8"/>
      <c r="B105" s="338"/>
      <c r="C105" s="338"/>
      <c r="D105" s="338"/>
      <c r="E105" s="338"/>
      <c r="F105" s="338"/>
      <c r="G105" s="338"/>
      <c r="H105" s="338"/>
      <c r="I105" s="338"/>
      <c r="J105" s="338"/>
      <c r="K105" s="338"/>
      <c r="L105" s="338"/>
      <c r="M105" s="337"/>
      <c r="N105" s="407"/>
      <c r="AC105" s="215"/>
      <c r="AN105" s="429"/>
      <c r="AO105" s="429"/>
      <c r="AP105" s="429"/>
      <c r="AQ105" s="427"/>
      <c r="AR105" s="427"/>
      <c r="AS105" s="427"/>
      <c r="AT105" s="2"/>
    </row>
    <row r="106" spans="1:46" ht="13.5">
      <c r="A106" s="338"/>
      <c r="B106" s="338"/>
      <c r="C106" s="338"/>
      <c r="D106" s="338"/>
      <c r="E106" s="338"/>
      <c r="F106" s="338"/>
      <c r="G106" s="338"/>
      <c r="H106" s="338"/>
      <c r="I106" s="338"/>
      <c r="J106" s="338"/>
      <c r="K106" s="338"/>
      <c r="L106" s="338"/>
      <c r="M106" s="337"/>
      <c r="N106" s="407"/>
      <c r="AC106" s="215"/>
      <c r="AN106" s="429"/>
      <c r="AO106" s="429"/>
      <c r="AP106" s="429"/>
      <c r="AQ106" s="427"/>
      <c r="AR106" s="427"/>
      <c r="AS106" s="427"/>
      <c r="AT106" s="2"/>
    </row>
    <row r="107" spans="1:46" ht="13.5">
      <c r="A107" s="338"/>
      <c r="B107" s="338"/>
      <c r="C107" s="338"/>
      <c r="D107" s="338"/>
      <c r="E107" s="338"/>
      <c r="F107" s="338"/>
      <c r="G107" s="338"/>
      <c r="H107" s="338"/>
      <c r="I107" s="338"/>
      <c r="J107" s="338"/>
      <c r="K107" s="338"/>
      <c r="L107" s="338"/>
      <c r="M107" s="337"/>
      <c r="N107" s="407"/>
      <c r="AC107" s="215"/>
      <c r="AN107" s="429"/>
      <c r="AO107" s="429"/>
      <c r="AP107" s="429"/>
      <c r="AQ107" s="427"/>
      <c r="AR107" s="427"/>
      <c r="AS107" s="427"/>
      <c r="AT107" s="2"/>
    </row>
    <row r="108" spans="1:46" ht="13.5">
      <c r="A108" s="338"/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7"/>
      <c r="N108" s="407"/>
      <c r="AC108" s="215"/>
      <c r="AN108" s="429"/>
      <c r="AO108" s="429"/>
      <c r="AP108" s="429"/>
      <c r="AQ108" s="427"/>
      <c r="AR108" s="427"/>
      <c r="AS108" s="427"/>
      <c r="AT108" s="2"/>
    </row>
    <row r="109" spans="1:46" ht="13.5">
      <c r="A109" s="338"/>
      <c r="B109" s="338"/>
      <c r="C109" s="338"/>
      <c r="D109" s="338"/>
      <c r="E109" s="338"/>
      <c r="F109" s="338"/>
      <c r="G109" s="338"/>
      <c r="H109" s="338"/>
      <c r="I109" s="338"/>
      <c r="J109" s="338"/>
      <c r="K109" s="338"/>
      <c r="L109" s="338"/>
      <c r="M109" s="337"/>
      <c r="N109" s="407"/>
      <c r="AC109" s="215"/>
      <c r="AN109" s="429"/>
      <c r="AO109" s="429"/>
      <c r="AP109" s="429"/>
      <c r="AQ109" s="427"/>
      <c r="AR109" s="427"/>
      <c r="AS109" s="427"/>
      <c r="AT109" s="2"/>
    </row>
    <row r="110" spans="1:46" ht="13.5">
      <c r="A110" s="338"/>
      <c r="B110" s="338"/>
      <c r="C110" s="338"/>
      <c r="D110" s="338"/>
      <c r="E110" s="338"/>
      <c r="F110" s="338"/>
      <c r="G110" s="338"/>
      <c r="H110" s="338"/>
      <c r="I110" s="338"/>
      <c r="J110" s="338"/>
      <c r="K110" s="338"/>
      <c r="L110" s="338"/>
      <c r="M110" s="337"/>
      <c r="N110" s="407"/>
      <c r="AC110" s="215"/>
      <c r="AN110" s="429"/>
      <c r="AO110" s="429"/>
      <c r="AP110" s="429"/>
      <c r="AQ110" s="427"/>
      <c r="AR110" s="427"/>
      <c r="AS110" s="427"/>
      <c r="AT110" s="2"/>
    </row>
    <row r="111" spans="1:46" ht="13.5">
      <c r="A111" s="338"/>
      <c r="B111" s="338"/>
      <c r="C111" s="338"/>
      <c r="D111" s="338"/>
      <c r="E111" s="338"/>
      <c r="F111" s="338"/>
      <c r="G111" s="338"/>
      <c r="H111" s="338"/>
      <c r="I111" s="338"/>
      <c r="J111" s="338"/>
      <c r="K111" s="338"/>
      <c r="L111" s="338"/>
      <c r="M111" s="337"/>
      <c r="N111" s="407"/>
      <c r="AC111" s="215"/>
      <c r="AN111" s="429"/>
      <c r="AO111" s="429"/>
      <c r="AP111" s="429"/>
      <c r="AQ111" s="427"/>
      <c r="AR111" s="427"/>
      <c r="AS111" s="427"/>
      <c r="AT111" s="248"/>
    </row>
    <row r="112" spans="1:46" ht="13.5">
      <c r="A112" s="338"/>
      <c r="B112" s="338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7"/>
      <c r="N112" s="407"/>
      <c r="AC112" s="215"/>
      <c r="AN112" s="429"/>
      <c r="AO112" s="429"/>
      <c r="AP112" s="429"/>
      <c r="AQ112" s="427"/>
      <c r="AR112" s="427"/>
      <c r="AS112" s="427"/>
      <c r="AT112" s="248"/>
    </row>
    <row r="113" spans="1:46" ht="13.5">
      <c r="A113" s="338"/>
      <c r="B113" s="338"/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7"/>
      <c r="N113" s="407"/>
      <c r="AC113" s="215"/>
      <c r="AN113" s="429"/>
      <c r="AO113" s="429"/>
      <c r="AP113" s="429"/>
      <c r="AQ113" s="427"/>
      <c r="AR113" s="427"/>
      <c r="AS113" s="427"/>
      <c r="AT113" s="248"/>
    </row>
    <row r="114" spans="1:46" ht="13.5">
      <c r="A114" s="338"/>
      <c r="B114" s="338"/>
      <c r="C114" s="338"/>
      <c r="D114" s="338"/>
      <c r="E114" s="338"/>
      <c r="F114" s="338"/>
      <c r="G114" s="338"/>
      <c r="H114" s="338"/>
      <c r="I114" s="338"/>
      <c r="J114" s="338"/>
      <c r="K114" s="338"/>
      <c r="L114" s="338"/>
      <c r="M114" s="337"/>
      <c r="N114" s="407"/>
      <c r="AC114" s="215"/>
      <c r="AN114" s="429"/>
      <c r="AO114" s="429"/>
      <c r="AP114" s="429"/>
      <c r="AQ114" s="427"/>
      <c r="AR114" s="427"/>
      <c r="AS114" s="427"/>
      <c r="AT114" s="248"/>
    </row>
    <row r="115" spans="1:46" ht="13.5">
      <c r="A115" s="338"/>
      <c r="B115" s="338"/>
      <c r="C115" s="338"/>
      <c r="D115" s="338"/>
      <c r="E115" s="338"/>
      <c r="F115" s="338"/>
      <c r="G115" s="338"/>
      <c r="H115" s="338"/>
      <c r="I115" s="338"/>
      <c r="J115" s="338"/>
      <c r="K115" s="338"/>
      <c r="L115" s="338"/>
      <c r="M115" s="337"/>
      <c r="N115" s="407"/>
      <c r="AC115" s="215"/>
      <c r="AN115" s="429"/>
      <c r="AO115" s="429"/>
      <c r="AP115" s="429"/>
      <c r="AQ115" s="427"/>
      <c r="AR115" s="427"/>
      <c r="AS115" s="427"/>
      <c r="AT115" s="248"/>
    </row>
    <row r="116" spans="1:46" ht="13.5">
      <c r="A116" s="338"/>
      <c r="B116" s="338"/>
      <c r="C116" s="338"/>
      <c r="D116" s="338"/>
      <c r="E116" s="338"/>
      <c r="F116" s="338"/>
      <c r="G116" s="338"/>
      <c r="H116" s="338"/>
      <c r="I116" s="338"/>
      <c r="J116" s="338"/>
      <c r="K116" s="338"/>
      <c r="L116" s="338"/>
      <c r="M116" s="337"/>
      <c r="N116" s="407"/>
      <c r="AC116" s="215"/>
      <c r="AN116" s="429"/>
      <c r="AO116" s="429"/>
      <c r="AP116" s="429"/>
      <c r="AQ116" s="427"/>
      <c r="AR116" s="427"/>
      <c r="AS116" s="427"/>
      <c r="AT116" s="248"/>
    </row>
    <row r="117" spans="1:46" ht="13.5">
      <c r="A117" s="338"/>
      <c r="B117" s="338"/>
      <c r="C117" s="338"/>
      <c r="D117" s="338"/>
      <c r="E117" s="338"/>
      <c r="F117" s="338"/>
      <c r="G117" s="338"/>
      <c r="H117" s="338"/>
      <c r="I117" s="338"/>
      <c r="J117" s="338"/>
      <c r="K117" s="338"/>
      <c r="L117" s="338"/>
      <c r="M117" s="337"/>
      <c r="N117" s="407"/>
      <c r="AC117" s="215"/>
      <c r="AN117" s="429"/>
      <c r="AO117" s="429"/>
      <c r="AP117" s="429"/>
      <c r="AQ117" s="427"/>
      <c r="AR117" s="427"/>
      <c r="AS117" s="427"/>
      <c r="AT117" s="248"/>
    </row>
    <row r="118" spans="1:46" ht="13.5">
      <c r="A118" s="338"/>
      <c r="B118" s="338"/>
      <c r="C118" s="338"/>
      <c r="D118" s="338"/>
      <c r="E118" s="338"/>
      <c r="F118" s="338"/>
      <c r="G118" s="338"/>
      <c r="H118" s="338"/>
      <c r="I118" s="338"/>
      <c r="J118" s="338"/>
      <c r="K118" s="338"/>
      <c r="L118" s="338"/>
      <c r="M118" s="337"/>
      <c r="N118" s="407"/>
      <c r="AC118" s="215"/>
      <c r="AN118" s="429"/>
      <c r="AO118" s="429"/>
      <c r="AP118" s="429"/>
      <c r="AQ118" s="427"/>
      <c r="AR118" s="427"/>
      <c r="AS118" s="427"/>
      <c r="AT118" s="248"/>
    </row>
    <row r="119" spans="1:46" ht="13.5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7"/>
      <c r="N119" s="407"/>
      <c r="AC119" s="215"/>
      <c r="AN119" s="429"/>
      <c r="AO119" s="429"/>
      <c r="AP119" s="429"/>
      <c r="AQ119" s="427"/>
      <c r="AR119" s="427"/>
      <c r="AS119" s="427"/>
      <c r="AT119" s="248"/>
    </row>
    <row r="120" spans="1:46" ht="13.5">
      <c r="A120" s="338"/>
      <c r="B120" s="338"/>
      <c r="C120" s="338"/>
      <c r="D120" s="338"/>
      <c r="E120" s="338"/>
      <c r="F120" s="338"/>
      <c r="G120" s="338"/>
      <c r="H120" s="338"/>
      <c r="I120" s="338"/>
      <c r="J120" s="338"/>
      <c r="K120" s="338"/>
      <c r="L120" s="338"/>
      <c r="M120" s="337"/>
      <c r="N120" s="407"/>
      <c r="AC120" s="215"/>
      <c r="AN120" s="429"/>
      <c r="AO120" s="429"/>
      <c r="AP120" s="429"/>
      <c r="AQ120" s="427"/>
      <c r="AR120" s="427"/>
      <c r="AS120" s="427"/>
      <c r="AT120" s="248"/>
    </row>
    <row r="121" spans="1:46" ht="13.5">
      <c r="A121" s="338"/>
      <c r="B121" s="338"/>
      <c r="C121" s="338"/>
      <c r="D121" s="338"/>
      <c r="E121" s="338"/>
      <c r="F121" s="338"/>
      <c r="G121" s="338"/>
      <c r="H121" s="338"/>
      <c r="I121" s="338"/>
      <c r="J121" s="338"/>
      <c r="K121" s="338"/>
      <c r="L121" s="338"/>
      <c r="M121" s="337"/>
      <c r="N121" s="407"/>
      <c r="AC121" s="215"/>
      <c r="AN121" s="429"/>
      <c r="AO121" s="429"/>
      <c r="AP121" s="429"/>
      <c r="AQ121" s="427"/>
      <c r="AR121" s="427"/>
      <c r="AS121" s="427"/>
      <c r="AT121" s="248"/>
    </row>
    <row r="122" spans="1:46" ht="13.5">
      <c r="A122" s="338"/>
      <c r="B122" s="338"/>
      <c r="C122" s="338"/>
      <c r="D122" s="338"/>
      <c r="E122" s="338"/>
      <c r="F122" s="338"/>
      <c r="G122" s="338"/>
      <c r="H122" s="338"/>
      <c r="I122" s="338"/>
      <c r="J122" s="338"/>
      <c r="K122" s="338"/>
      <c r="L122" s="338"/>
      <c r="M122" s="337"/>
      <c r="N122" s="407"/>
      <c r="AC122" s="215"/>
      <c r="AN122" s="429"/>
      <c r="AO122" s="429"/>
      <c r="AP122" s="429"/>
      <c r="AQ122" s="427"/>
      <c r="AR122" s="427"/>
      <c r="AS122" s="427"/>
      <c r="AT122" s="248"/>
    </row>
    <row r="123" spans="1:46" ht="13.5">
      <c r="A123" s="338"/>
      <c r="B123" s="338"/>
      <c r="C123" s="338"/>
      <c r="D123" s="338"/>
      <c r="E123" s="338"/>
      <c r="F123" s="338"/>
      <c r="G123" s="338"/>
      <c r="H123" s="338"/>
      <c r="I123" s="338"/>
      <c r="J123" s="338"/>
      <c r="K123" s="338"/>
      <c r="L123" s="338"/>
      <c r="M123" s="337"/>
      <c r="N123" s="407"/>
      <c r="AC123" s="215"/>
      <c r="AN123" s="429"/>
      <c r="AO123" s="429"/>
      <c r="AP123" s="429"/>
      <c r="AQ123" s="427"/>
      <c r="AR123" s="427"/>
      <c r="AS123" s="427"/>
      <c r="AT123" s="248"/>
    </row>
    <row r="124" spans="1:46" ht="13.5">
      <c r="A124" s="338"/>
      <c r="B124" s="338"/>
      <c r="C124" s="338"/>
      <c r="D124" s="338"/>
      <c r="E124" s="338"/>
      <c r="F124" s="338"/>
      <c r="G124" s="338"/>
      <c r="H124" s="338"/>
      <c r="I124" s="338"/>
      <c r="J124" s="338"/>
      <c r="K124" s="338"/>
      <c r="L124" s="338"/>
      <c r="M124" s="337"/>
      <c r="N124" s="407"/>
      <c r="AC124" s="215"/>
      <c r="AN124" s="429"/>
      <c r="AO124" s="429"/>
      <c r="AP124" s="429"/>
      <c r="AQ124" s="427"/>
      <c r="AR124" s="427"/>
      <c r="AS124" s="427"/>
      <c r="AT124" s="248"/>
    </row>
    <row r="125" spans="1:46" ht="13.5">
      <c r="A125" s="338"/>
      <c r="B125" s="338"/>
      <c r="C125" s="338"/>
      <c r="D125" s="338"/>
      <c r="E125" s="338"/>
      <c r="F125" s="338"/>
      <c r="G125" s="338"/>
      <c r="H125" s="338"/>
      <c r="I125" s="338"/>
      <c r="J125" s="338"/>
      <c r="K125" s="338"/>
      <c r="L125" s="338"/>
      <c r="M125" s="337"/>
      <c r="N125" s="407"/>
      <c r="AC125" s="215"/>
      <c r="AN125" s="429"/>
      <c r="AO125" s="429"/>
      <c r="AP125" s="429"/>
      <c r="AQ125" s="427"/>
      <c r="AR125" s="427"/>
      <c r="AS125" s="427"/>
      <c r="AT125" s="248"/>
    </row>
    <row r="126" spans="1:46" ht="13.5">
      <c r="A126" s="338"/>
      <c r="B126" s="338"/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7"/>
      <c r="N126" s="407"/>
      <c r="AC126" s="215"/>
      <c r="AN126" s="429"/>
      <c r="AO126" s="429"/>
      <c r="AP126" s="429"/>
      <c r="AQ126" s="427"/>
      <c r="AR126" s="427"/>
      <c r="AS126" s="427"/>
      <c r="AT126" s="248"/>
    </row>
    <row r="127" spans="1:46" ht="13.5">
      <c r="A127" s="338"/>
      <c r="B127" s="338"/>
      <c r="C127" s="338"/>
      <c r="D127" s="338"/>
      <c r="E127" s="338"/>
      <c r="F127" s="338"/>
      <c r="G127" s="338"/>
      <c r="H127" s="338"/>
      <c r="I127" s="338"/>
      <c r="J127" s="338"/>
      <c r="K127" s="338"/>
      <c r="L127" s="338"/>
      <c r="M127" s="337"/>
      <c r="N127" s="407"/>
      <c r="AC127" s="215"/>
      <c r="AN127" s="429"/>
      <c r="AO127" s="429"/>
      <c r="AP127" s="429"/>
      <c r="AQ127" s="427"/>
      <c r="AR127" s="427"/>
      <c r="AS127" s="427"/>
      <c r="AT127" s="248"/>
    </row>
    <row r="128" spans="1:46" ht="13.5">
      <c r="A128" s="338"/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7"/>
      <c r="N128" s="407"/>
      <c r="AC128" s="215"/>
      <c r="AN128" s="429"/>
      <c r="AO128" s="429"/>
      <c r="AP128" s="429"/>
      <c r="AQ128" s="427"/>
      <c r="AR128" s="427"/>
      <c r="AS128" s="427"/>
      <c r="AT128" s="248"/>
    </row>
    <row r="129" spans="1:46" ht="13.5">
      <c r="A129" s="338"/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7"/>
      <c r="N129" s="407"/>
      <c r="AC129" s="215"/>
      <c r="AN129" s="429"/>
      <c r="AO129" s="429"/>
      <c r="AP129" s="429"/>
      <c r="AQ129" s="427"/>
      <c r="AR129" s="427"/>
      <c r="AS129" s="427"/>
      <c r="AT129" s="248"/>
    </row>
    <row r="130" spans="1:46" ht="13.5">
      <c r="A130" s="338"/>
      <c r="B130" s="338"/>
      <c r="C130" s="338"/>
      <c r="D130" s="338"/>
      <c r="E130" s="338"/>
      <c r="F130" s="338"/>
      <c r="G130" s="338"/>
      <c r="H130" s="338"/>
      <c r="I130" s="338"/>
      <c r="J130" s="338"/>
      <c r="K130" s="338"/>
      <c r="L130" s="338"/>
      <c r="M130" s="337"/>
      <c r="N130" s="407"/>
      <c r="AC130" s="215"/>
      <c r="AN130" s="429"/>
      <c r="AO130" s="429"/>
      <c r="AP130" s="429"/>
      <c r="AQ130" s="427"/>
      <c r="AR130" s="427"/>
      <c r="AS130" s="427"/>
      <c r="AT130" s="248"/>
    </row>
    <row r="131" spans="1:46" ht="13.5">
      <c r="A131" s="248"/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AC131" s="215"/>
      <c r="AN131" s="429"/>
      <c r="AO131" s="429"/>
      <c r="AP131" s="429"/>
      <c r="AQ131" s="427"/>
      <c r="AR131" s="427"/>
      <c r="AS131" s="427"/>
      <c r="AT131" s="248"/>
    </row>
    <row r="132" spans="1:46" ht="13.5">
      <c r="A132" s="248"/>
      <c r="B132" s="248"/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  <c r="AC132" s="215"/>
      <c r="AN132" s="429"/>
      <c r="AO132" s="429"/>
      <c r="AP132" s="429"/>
      <c r="AQ132" s="427"/>
      <c r="AR132" s="427"/>
      <c r="AS132" s="427"/>
      <c r="AT132" s="248"/>
    </row>
    <row r="133" spans="1:46" ht="13.5">
      <c r="A133" s="248"/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AC133" s="215"/>
      <c r="AN133" s="429"/>
      <c r="AO133" s="429"/>
      <c r="AP133" s="429"/>
      <c r="AQ133" s="427"/>
      <c r="AR133" s="427"/>
      <c r="AS133" s="427"/>
      <c r="AT133" s="248"/>
    </row>
    <row r="134" spans="1:46" ht="13.5">
      <c r="A134" s="248"/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AC134" s="215"/>
      <c r="AN134" s="429"/>
      <c r="AO134" s="429"/>
      <c r="AP134" s="429"/>
      <c r="AQ134" s="427"/>
      <c r="AR134" s="427"/>
      <c r="AS134" s="427"/>
      <c r="AT134" s="248"/>
    </row>
    <row r="135" spans="1:46" ht="13.5">
      <c r="A135" s="248"/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AC135" s="215"/>
      <c r="AN135" s="429"/>
      <c r="AO135" s="429"/>
      <c r="AP135" s="429"/>
      <c r="AQ135" s="427"/>
      <c r="AR135" s="427"/>
      <c r="AS135" s="427"/>
      <c r="AT135" s="248"/>
    </row>
    <row r="136" spans="1:46" ht="13.5">
      <c r="A136" s="248"/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AC136" s="215"/>
      <c r="AN136" s="429"/>
      <c r="AO136" s="429"/>
      <c r="AP136" s="429"/>
      <c r="AQ136" s="427"/>
      <c r="AR136" s="427"/>
      <c r="AS136" s="427"/>
      <c r="AT136" s="248"/>
    </row>
    <row r="137" spans="1:46" ht="13.5">
      <c r="A137" s="248"/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AC137" s="215"/>
      <c r="AN137" s="429"/>
      <c r="AO137" s="429"/>
      <c r="AP137" s="429"/>
      <c r="AQ137" s="427"/>
      <c r="AR137" s="427"/>
      <c r="AS137" s="427"/>
      <c r="AT137" s="248"/>
    </row>
    <row r="138" spans="1:46" ht="13.5">
      <c r="A138" s="248"/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AC138" s="215"/>
      <c r="AN138" s="429"/>
      <c r="AO138" s="429"/>
      <c r="AP138" s="429"/>
      <c r="AQ138" s="427"/>
      <c r="AR138" s="427"/>
      <c r="AS138" s="427"/>
      <c r="AT138" s="248"/>
    </row>
    <row r="139" spans="1:46" ht="13.5">
      <c r="A139" s="248"/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AC139" s="215"/>
      <c r="AN139" s="429"/>
      <c r="AO139" s="429"/>
      <c r="AP139" s="429"/>
      <c r="AQ139" s="427"/>
      <c r="AR139" s="427"/>
      <c r="AS139" s="427"/>
      <c r="AT139" s="248"/>
    </row>
    <row r="140" spans="1:46" ht="13.5">
      <c r="A140" s="248"/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AC140" s="215"/>
      <c r="AN140" s="429"/>
      <c r="AO140" s="429"/>
      <c r="AP140" s="429"/>
      <c r="AQ140" s="427"/>
      <c r="AR140" s="427"/>
      <c r="AS140" s="427"/>
      <c r="AT140" s="248"/>
    </row>
    <row r="141" spans="1:46" ht="13.5">
      <c r="A141" s="248"/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AC141" s="215"/>
      <c r="AN141" s="429"/>
      <c r="AO141" s="429"/>
      <c r="AP141" s="429"/>
      <c r="AQ141" s="427"/>
      <c r="AR141" s="427"/>
      <c r="AS141" s="427"/>
      <c r="AT141" s="248"/>
    </row>
    <row r="142" spans="1:46" ht="13.5">
      <c r="A142" s="248"/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AC142" s="215"/>
      <c r="AN142" s="429"/>
      <c r="AO142" s="429"/>
      <c r="AP142" s="429"/>
      <c r="AQ142" s="427"/>
      <c r="AR142" s="427"/>
      <c r="AS142" s="427"/>
      <c r="AT142" s="248"/>
    </row>
    <row r="143" spans="1:46" ht="13.5">
      <c r="A143" s="248"/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AC143" s="215"/>
      <c r="AN143" s="429"/>
      <c r="AO143" s="429"/>
      <c r="AP143" s="429"/>
      <c r="AQ143" s="427"/>
      <c r="AR143" s="427"/>
      <c r="AS143" s="427"/>
      <c r="AT143" s="248"/>
    </row>
    <row r="144" spans="1:46" ht="13.5">
      <c r="A144" s="248"/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AC144" s="215"/>
      <c r="AN144" s="429"/>
      <c r="AO144" s="429"/>
      <c r="AP144" s="429"/>
      <c r="AQ144" s="427"/>
      <c r="AR144" s="427"/>
      <c r="AS144" s="427"/>
      <c r="AT144" s="248"/>
    </row>
    <row r="145" spans="1:46" ht="13.5">
      <c r="A145" s="248"/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  <c r="L145" s="248"/>
      <c r="AC145" s="215"/>
      <c r="AN145" s="429"/>
      <c r="AO145" s="429"/>
      <c r="AP145" s="429"/>
      <c r="AQ145" s="427"/>
      <c r="AR145" s="427"/>
      <c r="AS145" s="427"/>
      <c r="AT145" s="248"/>
    </row>
    <row r="146" spans="1:46" ht="13.5">
      <c r="A146" s="248"/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AC146" s="215"/>
      <c r="AN146" s="429"/>
      <c r="AO146" s="429"/>
      <c r="AP146" s="429"/>
      <c r="AQ146" s="427"/>
      <c r="AR146" s="427"/>
      <c r="AS146" s="427"/>
      <c r="AT146" s="248"/>
    </row>
    <row r="147" spans="1:46" ht="13.5">
      <c r="A147" s="248"/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AC147" s="215"/>
      <c r="AN147" s="429"/>
      <c r="AO147" s="429"/>
      <c r="AP147" s="429"/>
      <c r="AQ147" s="427"/>
      <c r="AR147" s="427"/>
      <c r="AS147" s="427"/>
      <c r="AT147" s="248"/>
    </row>
    <row r="148" spans="1:46" ht="13.5">
      <c r="A148" s="248"/>
      <c r="B148" s="248"/>
      <c r="C148" s="248"/>
      <c r="D148" s="248"/>
      <c r="E148" s="248"/>
      <c r="F148" s="248"/>
      <c r="G148" s="248"/>
      <c r="H148" s="248"/>
      <c r="I148" s="248"/>
      <c r="J148" s="248"/>
      <c r="K148" s="248"/>
      <c r="L148" s="248"/>
      <c r="AC148" s="215"/>
      <c r="AN148" s="429"/>
      <c r="AO148" s="429"/>
      <c r="AP148" s="429"/>
      <c r="AQ148" s="427"/>
      <c r="AR148" s="427"/>
      <c r="AS148" s="427"/>
      <c r="AT148" s="248"/>
    </row>
    <row r="149" spans="1:46" ht="13.5">
      <c r="A149" s="248"/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AC149" s="215"/>
      <c r="AN149" s="429"/>
      <c r="AO149" s="429"/>
      <c r="AP149" s="429"/>
      <c r="AQ149" s="427"/>
      <c r="AR149" s="427"/>
      <c r="AS149" s="427"/>
      <c r="AT149" s="248"/>
    </row>
    <row r="150" spans="1:46" ht="13.5">
      <c r="A150" s="248"/>
      <c r="B150" s="248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AC150" s="215"/>
      <c r="AN150" s="429"/>
      <c r="AO150" s="429"/>
      <c r="AP150" s="429"/>
      <c r="AQ150" s="427"/>
      <c r="AR150" s="427"/>
      <c r="AS150" s="427"/>
      <c r="AT150" s="248"/>
    </row>
    <row r="151" spans="1:46" ht="13.5">
      <c r="A151" s="248"/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AC151" s="215"/>
      <c r="AN151" s="429"/>
      <c r="AO151" s="429"/>
      <c r="AP151" s="429"/>
      <c r="AQ151" s="427"/>
      <c r="AR151" s="427"/>
      <c r="AS151" s="427"/>
      <c r="AT151" s="248"/>
    </row>
    <row r="152" spans="1:46" ht="13.5">
      <c r="A152" s="248"/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AC152" s="215"/>
      <c r="AN152" s="429"/>
      <c r="AO152" s="429"/>
      <c r="AP152" s="429"/>
      <c r="AQ152" s="427"/>
      <c r="AR152" s="427"/>
      <c r="AS152" s="427"/>
      <c r="AT152" s="248"/>
    </row>
    <row r="153" spans="1:46" ht="13.5">
      <c r="A153" s="248"/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AC153" s="215"/>
      <c r="AN153" s="429"/>
      <c r="AO153" s="429"/>
      <c r="AP153" s="429"/>
      <c r="AQ153" s="427"/>
      <c r="AR153" s="427"/>
      <c r="AS153" s="427"/>
      <c r="AT153" s="248"/>
    </row>
    <row r="154" spans="1:46" ht="13.5">
      <c r="A154" s="248"/>
      <c r="B154" s="248"/>
      <c r="C154" s="248"/>
      <c r="D154" s="248"/>
      <c r="E154" s="248"/>
      <c r="F154" s="248"/>
      <c r="G154" s="248"/>
      <c r="H154" s="248"/>
      <c r="I154" s="248"/>
      <c r="J154" s="248"/>
      <c r="K154" s="248"/>
      <c r="L154" s="248"/>
      <c r="AC154" s="215"/>
      <c r="AN154" s="429"/>
      <c r="AO154" s="429"/>
      <c r="AP154" s="429"/>
      <c r="AQ154" s="427"/>
      <c r="AR154" s="427"/>
      <c r="AS154" s="427"/>
      <c r="AT154" s="248"/>
    </row>
    <row r="155" spans="1:46" ht="13.5">
      <c r="A155" s="248"/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AC155" s="215"/>
      <c r="AN155" s="429"/>
      <c r="AO155" s="429"/>
      <c r="AP155" s="429"/>
      <c r="AQ155" s="427"/>
      <c r="AR155" s="427"/>
      <c r="AS155" s="427"/>
      <c r="AT155" s="248"/>
    </row>
    <row r="156" spans="1:46" ht="13.5">
      <c r="A156" s="248"/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AC156" s="215"/>
      <c r="AN156" s="429"/>
      <c r="AO156" s="429"/>
      <c r="AP156" s="429"/>
      <c r="AQ156" s="427"/>
      <c r="AR156" s="427"/>
      <c r="AS156" s="427"/>
      <c r="AT156" s="248"/>
    </row>
    <row r="157" spans="1:46" ht="13.5">
      <c r="A157" s="248"/>
      <c r="B157" s="248"/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AC157" s="215"/>
      <c r="AN157" s="429"/>
      <c r="AO157" s="429"/>
      <c r="AP157" s="429"/>
      <c r="AQ157" s="427"/>
      <c r="AR157" s="427"/>
      <c r="AS157" s="427"/>
      <c r="AT157" s="248"/>
    </row>
    <row r="158" spans="1:46" ht="13.5">
      <c r="A158" s="248"/>
      <c r="B158" s="248"/>
      <c r="C158" s="248"/>
      <c r="D158" s="248"/>
      <c r="E158" s="248"/>
      <c r="F158" s="248"/>
      <c r="G158" s="248"/>
      <c r="H158" s="248"/>
      <c r="I158" s="248"/>
      <c r="J158" s="248"/>
      <c r="K158" s="248"/>
      <c r="L158" s="248"/>
      <c r="AC158" s="215"/>
      <c r="AN158" s="429"/>
      <c r="AO158" s="429"/>
      <c r="AP158" s="429"/>
      <c r="AQ158" s="427"/>
      <c r="AR158" s="427"/>
      <c r="AS158" s="427"/>
      <c r="AT158" s="248"/>
    </row>
    <row r="159" spans="1:46" ht="13.5">
      <c r="A159" s="248"/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AC159" s="215"/>
      <c r="AN159" s="429"/>
      <c r="AO159" s="429"/>
      <c r="AP159" s="429"/>
      <c r="AQ159" s="427"/>
      <c r="AR159" s="427"/>
      <c r="AS159" s="427"/>
      <c r="AT159" s="248"/>
    </row>
    <row r="160" spans="1:46" ht="13.5">
      <c r="A160" s="248"/>
      <c r="B160" s="248"/>
      <c r="C160" s="248"/>
      <c r="D160" s="248"/>
      <c r="E160" s="248"/>
      <c r="F160" s="248"/>
      <c r="G160" s="248"/>
      <c r="H160" s="248"/>
      <c r="I160" s="248"/>
      <c r="J160" s="248"/>
      <c r="K160" s="248"/>
      <c r="L160" s="248"/>
      <c r="AC160" s="215"/>
      <c r="AN160" s="429"/>
      <c r="AO160" s="429"/>
      <c r="AP160" s="429"/>
      <c r="AQ160" s="427"/>
      <c r="AR160" s="427"/>
      <c r="AS160" s="427"/>
      <c r="AT160" s="248"/>
    </row>
    <row r="161" spans="1:46" ht="13.5">
      <c r="A161" s="248"/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  <c r="L161" s="248"/>
      <c r="AC161" s="215"/>
      <c r="AN161" s="429"/>
      <c r="AO161" s="429"/>
      <c r="AP161" s="429"/>
      <c r="AQ161" s="427"/>
      <c r="AR161" s="427"/>
      <c r="AS161" s="427"/>
      <c r="AT161" s="248"/>
    </row>
    <row r="162" spans="1:46" ht="13.5">
      <c r="A162" s="248"/>
      <c r="B162" s="248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AC162" s="215"/>
      <c r="AN162" s="429"/>
      <c r="AO162" s="429"/>
      <c r="AP162" s="429"/>
      <c r="AQ162" s="427"/>
      <c r="AR162" s="427"/>
      <c r="AS162" s="427"/>
      <c r="AT162" s="248"/>
    </row>
    <row r="163" spans="1:46" ht="13.5">
      <c r="A163" s="248"/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AC163" s="215"/>
      <c r="AN163" s="429"/>
      <c r="AO163" s="429"/>
      <c r="AP163" s="429"/>
      <c r="AQ163" s="427"/>
      <c r="AR163" s="427"/>
      <c r="AS163" s="427"/>
      <c r="AT163" s="248"/>
    </row>
    <row r="164" spans="1:46" ht="13.5">
      <c r="A164" s="248"/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AC164" s="215"/>
      <c r="AN164" s="429"/>
      <c r="AO164" s="429"/>
      <c r="AP164" s="429"/>
      <c r="AQ164" s="427"/>
      <c r="AR164" s="427"/>
      <c r="AS164" s="427"/>
      <c r="AT164" s="248"/>
    </row>
    <row r="165" spans="1:46" ht="13.5">
      <c r="A165" s="248"/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AC165" s="215"/>
      <c r="AN165" s="429"/>
      <c r="AO165" s="429"/>
      <c r="AP165" s="429"/>
      <c r="AQ165" s="427"/>
      <c r="AR165" s="427"/>
      <c r="AS165" s="427"/>
      <c r="AT165" s="248"/>
    </row>
    <row r="166" spans="1:46" ht="13.5">
      <c r="A166" s="248"/>
      <c r="B166" s="248"/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AC166" s="215"/>
      <c r="AN166" s="429"/>
      <c r="AO166" s="429"/>
      <c r="AP166" s="429"/>
      <c r="AQ166" s="427"/>
      <c r="AR166" s="427"/>
      <c r="AS166" s="427"/>
      <c r="AT166" s="248"/>
    </row>
    <row r="167" spans="1:46" ht="13.5">
      <c r="A167" s="248"/>
      <c r="B167" s="248"/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AC167" s="215"/>
      <c r="AN167" s="429"/>
      <c r="AO167" s="429"/>
      <c r="AP167" s="429"/>
      <c r="AQ167" s="427"/>
      <c r="AR167" s="427"/>
      <c r="AS167" s="427"/>
      <c r="AT167" s="248"/>
    </row>
    <row r="168" spans="1:46" ht="13.5">
      <c r="A168" s="248"/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AC168" s="215"/>
      <c r="AN168" s="429"/>
      <c r="AO168" s="429"/>
      <c r="AP168" s="429"/>
      <c r="AQ168" s="427"/>
      <c r="AR168" s="427"/>
      <c r="AS168" s="427"/>
      <c r="AT168" s="248"/>
    </row>
    <row r="169" spans="1:46" ht="13.5">
      <c r="A169" s="248"/>
      <c r="B169" s="248"/>
      <c r="C169" s="248"/>
      <c r="D169" s="248"/>
      <c r="E169" s="248"/>
      <c r="F169" s="248"/>
      <c r="G169" s="248"/>
      <c r="H169" s="248"/>
      <c r="I169" s="248"/>
      <c r="J169" s="248"/>
      <c r="K169" s="248"/>
      <c r="L169" s="248"/>
      <c r="AC169" s="215"/>
      <c r="AN169" s="429"/>
      <c r="AO169" s="429"/>
      <c r="AP169" s="429"/>
      <c r="AQ169" s="427"/>
      <c r="AR169" s="427"/>
      <c r="AS169" s="427"/>
      <c r="AT169" s="248"/>
    </row>
    <row r="170" spans="1:46" ht="13.5">
      <c r="A170" s="248"/>
      <c r="B170" s="248"/>
      <c r="C170" s="248"/>
      <c r="D170" s="248"/>
      <c r="E170" s="248"/>
      <c r="F170" s="248"/>
      <c r="G170" s="248"/>
      <c r="H170" s="248"/>
      <c r="I170" s="248"/>
      <c r="J170" s="248"/>
      <c r="K170" s="248"/>
      <c r="L170" s="248"/>
      <c r="AC170" s="215"/>
      <c r="AN170" s="429"/>
      <c r="AO170" s="429"/>
      <c r="AP170" s="429"/>
      <c r="AQ170" s="427"/>
      <c r="AR170" s="427"/>
      <c r="AS170" s="427"/>
      <c r="AT170" s="248"/>
    </row>
    <row r="171" spans="1:46" ht="13.5">
      <c r="A171" s="248"/>
      <c r="B171" s="248"/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AC171" s="215"/>
      <c r="AN171" s="429"/>
      <c r="AO171" s="429"/>
      <c r="AP171" s="429"/>
      <c r="AQ171" s="427"/>
      <c r="AR171" s="427"/>
      <c r="AS171" s="427"/>
      <c r="AT171" s="248"/>
    </row>
    <row r="172" spans="1:46" ht="13.5">
      <c r="A172" s="248"/>
      <c r="B172" s="248"/>
      <c r="C172" s="248"/>
      <c r="D172" s="248"/>
      <c r="E172" s="248"/>
      <c r="F172" s="248"/>
      <c r="G172" s="248"/>
      <c r="H172" s="248"/>
      <c r="I172" s="248"/>
      <c r="J172" s="248"/>
      <c r="K172" s="248"/>
      <c r="L172" s="248"/>
      <c r="AC172" s="215"/>
      <c r="AN172" s="429"/>
      <c r="AO172" s="429"/>
      <c r="AP172" s="429"/>
      <c r="AQ172" s="427"/>
      <c r="AR172" s="427"/>
      <c r="AS172" s="427"/>
      <c r="AT172" s="248"/>
    </row>
    <row r="173" spans="1:46" ht="13.5">
      <c r="A173" s="248"/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AC173" s="215"/>
      <c r="AN173" s="429"/>
      <c r="AO173" s="429"/>
      <c r="AP173" s="429"/>
      <c r="AQ173" s="427"/>
      <c r="AR173" s="427"/>
      <c r="AS173" s="427"/>
      <c r="AT173" s="248"/>
    </row>
    <row r="174" spans="1:46" ht="13.5">
      <c r="A174" s="248"/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AC174" s="215"/>
      <c r="AN174" s="429"/>
      <c r="AO174" s="429"/>
      <c r="AP174" s="429"/>
      <c r="AQ174" s="427"/>
      <c r="AR174" s="427"/>
      <c r="AS174" s="427"/>
      <c r="AT174" s="248"/>
    </row>
    <row r="175" spans="1:46" ht="13.5">
      <c r="A175" s="248"/>
      <c r="B175" s="248"/>
      <c r="C175" s="248"/>
      <c r="D175" s="248"/>
      <c r="E175" s="248"/>
      <c r="F175" s="248"/>
      <c r="G175" s="248"/>
      <c r="H175" s="248"/>
      <c r="I175" s="248"/>
      <c r="J175" s="248"/>
      <c r="K175" s="248"/>
      <c r="L175" s="248"/>
      <c r="AC175" s="215"/>
      <c r="AN175" s="429"/>
      <c r="AO175" s="429"/>
      <c r="AP175" s="429"/>
      <c r="AQ175" s="427"/>
      <c r="AR175" s="427"/>
      <c r="AS175" s="427"/>
      <c r="AT175" s="248"/>
    </row>
    <row r="176" spans="1:46" ht="13.5">
      <c r="A176" s="248"/>
      <c r="B176" s="248"/>
      <c r="C176" s="248"/>
      <c r="D176" s="248"/>
      <c r="E176" s="248"/>
      <c r="F176" s="248"/>
      <c r="G176" s="248"/>
      <c r="H176" s="248"/>
      <c r="I176" s="248"/>
      <c r="J176" s="248"/>
      <c r="K176" s="248"/>
      <c r="L176" s="248"/>
      <c r="AC176" s="215"/>
      <c r="AN176" s="429"/>
      <c r="AO176" s="429"/>
      <c r="AP176" s="429"/>
      <c r="AQ176" s="427"/>
      <c r="AR176" s="427"/>
      <c r="AS176" s="427"/>
      <c r="AT176" s="248"/>
    </row>
    <row r="177" spans="1:46" ht="13.5">
      <c r="A177" s="248"/>
      <c r="B177" s="248"/>
      <c r="C177" s="248"/>
      <c r="D177" s="248"/>
      <c r="E177" s="248"/>
      <c r="F177" s="248"/>
      <c r="G177" s="248"/>
      <c r="H177" s="248"/>
      <c r="I177" s="248"/>
      <c r="J177" s="248"/>
      <c r="K177" s="248"/>
      <c r="L177" s="248"/>
      <c r="AC177" s="215"/>
      <c r="AN177" s="429"/>
      <c r="AO177" s="429"/>
      <c r="AP177" s="429"/>
      <c r="AQ177" s="427"/>
      <c r="AR177" s="427"/>
      <c r="AS177" s="427"/>
      <c r="AT177" s="248"/>
    </row>
    <row r="178" spans="1:46" ht="13.5">
      <c r="A178" s="248"/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AC178" s="215"/>
      <c r="AN178" s="429"/>
      <c r="AO178" s="429"/>
      <c r="AP178" s="429"/>
      <c r="AQ178" s="427"/>
      <c r="AR178" s="427"/>
      <c r="AS178" s="427"/>
      <c r="AT178" s="248"/>
    </row>
    <row r="179" spans="1:46" ht="13.5">
      <c r="A179" s="248"/>
      <c r="B179" s="248"/>
      <c r="C179" s="248"/>
      <c r="D179" s="248"/>
      <c r="E179" s="248"/>
      <c r="F179" s="248"/>
      <c r="G179" s="248"/>
      <c r="H179" s="248"/>
      <c r="I179" s="248"/>
      <c r="J179" s="248"/>
      <c r="K179" s="248"/>
      <c r="L179" s="248"/>
      <c r="AC179" s="215"/>
      <c r="AN179" s="429"/>
      <c r="AO179" s="429"/>
      <c r="AP179" s="429"/>
      <c r="AQ179" s="427"/>
      <c r="AR179" s="427"/>
      <c r="AS179" s="427"/>
      <c r="AT179" s="248"/>
    </row>
    <row r="180" spans="1:46" ht="13.5">
      <c r="A180" s="248"/>
      <c r="B180" s="248"/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AC180" s="215"/>
      <c r="AN180" s="429"/>
      <c r="AO180" s="429"/>
      <c r="AP180" s="429"/>
      <c r="AQ180" s="427"/>
      <c r="AR180" s="427"/>
      <c r="AS180" s="427"/>
      <c r="AT180" s="248"/>
    </row>
    <row r="181" spans="1:46" ht="13.5">
      <c r="A181" s="248"/>
      <c r="B181" s="248"/>
      <c r="C181" s="248"/>
      <c r="D181" s="248"/>
      <c r="E181" s="248"/>
      <c r="F181" s="248"/>
      <c r="G181" s="248"/>
      <c r="H181" s="248"/>
      <c r="I181" s="248"/>
      <c r="J181" s="248"/>
      <c r="K181" s="248"/>
      <c r="L181" s="248"/>
      <c r="AC181" s="215"/>
      <c r="AN181" s="429"/>
      <c r="AO181" s="429"/>
      <c r="AP181" s="429"/>
      <c r="AQ181" s="427"/>
      <c r="AR181" s="427"/>
      <c r="AS181" s="427"/>
      <c r="AT181" s="248"/>
    </row>
    <row r="182" spans="1:46" ht="13.5">
      <c r="A182" s="248"/>
      <c r="B182" s="248"/>
      <c r="C182" s="248"/>
      <c r="D182" s="248"/>
      <c r="E182" s="248"/>
      <c r="F182" s="248"/>
      <c r="G182" s="248"/>
      <c r="H182" s="248"/>
      <c r="I182" s="248"/>
      <c r="J182" s="248"/>
      <c r="K182" s="248"/>
      <c r="L182" s="248"/>
      <c r="AC182" s="215"/>
      <c r="AN182" s="429"/>
      <c r="AO182" s="429"/>
      <c r="AP182" s="429"/>
      <c r="AQ182" s="427"/>
      <c r="AR182" s="427"/>
      <c r="AS182" s="427"/>
      <c r="AT182" s="248"/>
    </row>
    <row r="183" spans="1:46" ht="13.5">
      <c r="A183" s="248"/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AC183" s="215"/>
      <c r="AN183" s="429"/>
      <c r="AO183" s="429"/>
      <c r="AP183" s="429"/>
      <c r="AQ183" s="427"/>
      <c r="AR183" s="427"/>
      <c r="AS183" s="427"/>
      <c r="AT183" s="248"/>
    </row>
    <row r="184" spans="1:46" ht="13.5">
      <c r="A184" s="248"/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AC184" s="215"/>
      <c r="AN184" s="429"/>
      <c r="AO184" s="429"/>
      <c r="AP184" s="429"/>
      <c r="AQ184" s="427"/>
      <c r="AR184" s="427"/>
      <c r="AS184" s="427"/>
      <c r="AT184" s="248"/>
    </row>
    <row r="185" spans="1:46" ht="13.5">
      <c r="A185" s="248"/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AC185" s="215"/>
      <c r="AN185" s="429"/>
      <c r="AO185" s="429"/>
      <c r="AP185" s="429"/>
      <c r="AQ185" s="427"/>
      <c r="AR185" s="427"/>
      <c r="AS185" s="427"/>
      <c r="AT185" s="248"/>
    </row>
    <row r="186" spans="1:46" ht="13.5">
      <c r="A186" s="248"/>
      <c r="B186" s="248"/>
      <c r="C186" s="248"/>
      <c r="D186" s="248"/>
      <c r="E186" s="248"/>
      <c r="F186" s="248"/>
      <c r="G186" s="248"/>
      <c r="H186" s="248"/>
      <c r="I186" s="248"/>
      <c r="J186" s="248"/>
      <c r="K186" s="248"/>
      <c r="L186" s="248"/>
      <c r="AC186" s="215"/>
      <c r="AN186" s="429"/>
      <c r="AO186" s="429"/>
      <c r="AP186" s="429"/>
      <c r="AQ186" s="427"/>
      <c r="AR186" s="427"/>
      <c r="AS186" s="427"/>
      <c r="AT186" s="248"/>
    </row>
    <row r="187" spans="1:46" ht="13.5">
      <c r="A187" s="248"/>
      <c r="B187" s="248"/>
      <c r="C187" s="248"/>
      <c r="D187" s="248"/>
      <c r="E187" s="248"/>
      <c r="F187" s="248"/>
      <c r="G187" s="248"/>
      <c r="H187" s="248"/>
      <c r="I187" s="248"/>
      <c r="J187" s="248"/>
      <c r="K187" s="248"/>
      <c r="L187" s="248"/>
      <c r="AC187" s="215"/>
      <c r="AN187" s="429"/>
      <c r="AO187" s="429"/>
      <c r="AP187" s="429"/>
      <c r="AQ187" s="427"/>
      <c r="AR187" s="427"/>
      <c r="AS187" s="427"/>
      <c r="AT187" s="248"/>
    </row>
    <row r="188" spans="1:46" ht="13.5">
      <c r="A188" s="248"/>
      <c r="B188" s="248"/>
      <c r="C188" s="248"/>
      <c r="D188" s="248"/>
      <c r="E188" s="248"/>
      <c r="F188" s="248"/>
      <c r="G188" s="248"/>
      <c r="H188" s="248"/>
      <c r="I188" s="248"/>
      <c r="J188" s="248"/>
      <c r="K188" s="248"/>
      <c r="L188" s="248"/>
      <c r="AC188" s="215"/>
      <c r="AN188" s="429"/>
      <c r="AO188" s="429"/>
      <c r="AP188" s="429"/>
      <c r="AQ188" s="427"/>
      <c r="AR188" s="427"/>
      <c r="AS188" s="427"/>
      <c r="AT188" s="248"/>
    </row>
    <row r="189" spans="1:46" ht="13.5">
      <c r="A189" s="248"/>
      <c r="B189" s="248"/>
      <c r="C189" s="248"/>
      <c r="D189" s="248"/>
      <c r="E189" s="248"/>
      <c r="F189" s="248"/>
      <c r="G189" s="248"/>
      <c r="H189" s="248"/>
      <c r="I189" s="248"/>
      <c r="J189" s="248"/>
      <c r="K189" s="248"/>
      <c r="L189" s="248"/>
      <c r="AC189" s="215"/>
      <c r="AN189" s="429"/>
      <c r="AO189" s="429"/>
      <c r="AP189" s="429"/>
      <c r="AQ189" s="427"/>
      <c r="AR189" s="427"/>
      <c r="AS189" s="427"/>
      <c r="AT189" s="248"/>
    </row>
    <row r="190" spans="1:46" ht="13.5">
      <c r="A190" s="248"/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AC190" s="215"/>
      <c r="AN190" s="429"/>
      <c r="AO190" s="429"/>
      <c r="AP190" s="429"/>
      <c r="AQ190" s="427"/>
      <c r="AR190" s="427"/>
      <c r="AS190" s="427"/>
      <c r="AT190" s="248"/>
    </row>
    <row r="191" spans="1:46" ht="13.5">
      <c r="A191" s="248"/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AC191" s="215"/>
      <c r="AN191" s="429"/>
      <c r="AO191" s="429"/>
      <c r="AP191" s="429"/>
      <c r="AQ191" s="427"/>
      <c r="AR191" s="427"/>
      <c r="AS191" s="427"/>
      <c r="AT191" s="248"/>
    </row>
    <row r="192" spans="1:46" ht="13.5">
      <c r="A192" s="248"/>
      <c r="B192" s="248"/>
      <c r="C192" s="248"/>
      <c r="D192" s="248"/>
      <c r="E192" s="248"/>
      <c r="F192" s="248"/>
      <c r="G192" s="248"/>
      <c r="H192" s="248"/>
      <c r="I192" s="248"/>
      <c r="J192" s="248"/>
      <c r="K192" s="248"/>
      <c r="L192" s="248"/>
      <c r="AC192" s="215"/>
      <c r="AN192" s="429"/>
      <c r="AO192" s="429"/>
      <c r="AP192" s="429"/>
      <c r="AQ192" s="427"/>
      <c r="AR192" s="427"/>
      <c r="AS192" s="427"/>
      <c r="AT192" s="248"/>
    </row>
    <row r="193" spans="1:46" ht="13.5">
      <c r="A193" s="248"/>
      <c r="B193" s="248"/>
      <c r="C193" s="248"/>
      <c r="D193" s="248"/>
      <c r="E193" s="248"/>
      <c r="F193" s="248"/>
      <c r="G193" s="248"/>
      <c r="H193" s="248"/>
      <c r="I193" s="248"/>
      <c r="J193" s="248"/>
      <c r="K193" s="248"/>
      <c r="L193" s="248"/>
      <c r="AC193" s="215"/>
      <c r="AN193" s="429"/>
      <c r="AO193" s="429"/>
      <c r="AP193" s="429"/>
      <c r="AQ193" s="427"/>
      <c r="AR193" s="427"/>
      <c r="AS193" s="427"/>
      <c r="AT193" s="248"/>
    </row>
    <row r="194" spans="1:46" ht="13.5">
      <c r="A194" s="248"/>
      <c r="B194" s="248"/>
      <c r="C194" s="248"/>
      <c r="D194" s="248"/>
      <c r="E194" s="248"/>
      <c r="F194" s="248"/>
      <c r="G194" s="248"/>
      <c r="H194" s="248"/>
      <c r="I194" s="248"/>
      <c r="J194" s="248"/>
      <c r="K194" s="248"/>
      <c r="L194" s="248"/>
      <c r="AC194" s="215"/>
      <c r="AN194" s="429"/>
      <c r="AO194" s="429"/>
      <c r="AP194" s="429"/>
      <c r="AQ194" s="427"/>
      <c r="AR194" s="427"/>
      <c r="AS194" s="427"/>
      <c r="AT194" s="248"/>
    </row>
    <row r="195" spans="1:46" ht="13.5">
      <c r="A195" s="248"/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  <c r="L195" s="248"/>
      <c r="AC195" s="215"/>
      <c r="AN195" s="429"/>
      <c r="AO195" s="429"/>
      <c r="AP195" s="429"/>
      <c r="AQ195" s="427"/>
      <c r="AR195" s="427"/>
      <c r="AS195" s="427"/>
      <c r="AT195" s="248"/>
    </row>
    <row r="196" spans="1:46" ht="13.5">
      <c r="A196" s="248"/>
      <c r="B196" s="248"/>
      <c r="C196" s="248"/>
      <c r="D196" s="248"/>
      <c r="E196" s="248"/>
      <c r="F196" s="248"/>
      <c r="G196" s="248"/>
      <c r="H196" s="248"/>
      <c r="I196" s="248"/>
      <c r="J196" s="248"/>
      <c r="K196" s="248"/>
      <c r="L196" s="248"/>
      <c r="AC196" s="215"/>
      <c r="AN196" s="429"/>
      <c r="AO196" s="429"/>
      <c r="AP196" s="429"/>
      <c r="AQ196" s="427"/>
      <c r="AR196" s="427"/>
      <c r="AS196" s="427"/>
      <c r="AT196" s="248"/>
    </row>
    <row r="197" spans="1:46" ht="13.5">
      <c r="A197" s="248"/>
      <c r="B197" s="248"/>
      <c r="C197" s="248"/>
      <c r="D197" s="248"/>
      <c r="E197" s="248"/>
      <c r="F197" s="248"/>
      <c r="G197" s="248"/>
      <c r="H197" s="248"/>
      <c r="I197" s="248"/>
      <c r="J197" s="248"/>
      <c r="K197" s="248"/>
      <c r="L197" s="248"/>
      <c r="AC197" s="215"/>
      <c r="AN197" s="429"/>
      <c r="AO197" s="429"/>
      <c r="AP197" s="429"/>
      <c r="AQ197" s="427"/>
      <c r="AR197" s="427"/>
      <c r="AS197" s="427"/>
      <c r="AT197" s="248"/>
    </row>
    <row r="198" spans="1:46" ht="13.5">
      <c r="A198" s="248"/>
      <c r="B198" s="248"/>
      <c r="C198" s="248"/>
      <c r="D198" s="248"/>
      <c r="E198" s="248"/>
      <c r="F198" s="248"/>
      <c r="G198" s="248"/>
      <c r="H198" s="248"/>
      <c r="I198" s="248"/>
      <c r="J198" s="248"/>
      <c r="K198" s="248"/>
      <c r="L198" s="248"/>
      <c r="AC198" s="215"/>
      <c r="AN198" s="429"/>
      <c r="AO198" s="429"/>
      <c r="AP198" s="429"/>
      <c r="AQ198" s="427"/>
      <c r="AR198" s="427"/>
      <c r="AS198" s="427"/>
      <c r="AT198" s="248"/>
    </row>
    <row r="199" spans="1:46" ht="13.5">
      <c r="A199" s="248"/>
      <c r="B199" s="248"/>
      <c r="C199" s="248"/>
      <c r="D199" s="248"/>
      <c r="E199" s="248"/>
      <c r="F199" s="248"/>
      <c r="G199" s="248"/>
      <c r="H199" s="248"/>
      <c r="I199" s="248"/>
      <c r="J199" s="248"/>
      <c r="K199" s="248"/>
      <c r="L199" s="248"/>
      <c r="AC199" s="215"/>
      <c r="AN199" s="429"/>
      <c r="AO199" s="429"/>
      <c r="AP199" s="429"/>
      <c r="AQ199" s="427"/>
      <c r="AR199" s="427"/>
      <c r="AS199" s="427"/>
      <c r="AT199" s="248"/>
    </row>
    <row r="200" spans="1:46" ht="13.5">
      <c r="A200" s="248"/>
      <c r="B200" s="248"/>
      <c r="C200" s="248"/>
      <c r="D200" s="248"/>
      <c r="E200" s="248"/>
      <c r="F200" s="248"/>
      <c r="G200" s="248"/>
      <c r="H200" s="248"/>
      <c r="I200" s="248"/>
      <c r="J200" s="248"/>
      <c r="K200" s="248"/>
      <c r="L200" s="248"/>
      <c r="AC200" s="215"/>
      <c r="AN200" s="429"/>
      <c r="AO200" s="429"/>
      <c r="AP200" s="429"/>
      <c r="AQ200" s="427"/>
      <c r="AR200" s="427"/>
      <c r="AS200" s="427"/>
      <c r="AT200" s="248"/>
    </row>
    <row r="201" spans="1:46" ht="13.5">
      <c r="A201" s="248"/>
      <c r="B201" s="248"/>
      <c r="C201" s="248"/>
      <c r="D201" s="248"/>
      <c r="E201" s="248"/>
      <c r="F201" s="248"/>
      <c r="G201" s="248"/>
      <c r="H201" s="248"/>
      <c r="I201" s="248"/>
      <c r="J201" s="248"/>
      <c r="K201" s="248"/>
      <c r="L201" s="248"/>
      <c r="AC201" s="215"/>
      <c r="AN201" s="429"/>
      <c r="AO201" s="429"/>
      <c r="AP201" s="429"/>
      <c r="AQ201" s="427"/>
      <c r="AR201" s="427"/>
      <c r="AS201" s="427"/>
      <c r="AT201" s="248"/>
    </row>
    <row r="202" spans="1:46" ht="13.5">
      <c r="A202" s="248"/>
      <c r="B202" s="248"/>
      <c r="C202" s="248"/>
      <c r="D202" s="248"/>
      <c r="E202" s="248"/>
      <c r="F202" s="248"/>
      <c r="G202" s="248"/>
      <c r="H202" s="248"/>
      <c r="I202" s="248"/>
      <c r="J202" s="248"/>
      <c r="K202" s="248"/>
      <c r="L202" s="248"/>
      <c r="AC202" s="215"/>
      <c r="AN202" s="429"/>
      <c r="AO202" s="429"/>
      <c r="AP202" s="429"/>
      <c r="AQ202" s="427"/>
      <c r="AR202" s="427"/>
      <c r="AS202" s="427"/>
      <c r="AT202" s="248"/>
    </row>
    <row r="203" spans="1:46" ht="13.5">
      <c r="A203" s="248"/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AC203" s="215"/>
      <c r="AN203" s="429"/>
      <c r="AO203" s="429"/>
      <c r="AP203" s="429"/>
      <c r="AQ203" s="427"/>
      <c r="AR203" s="427"/>
      <c r="AS203" s="427"/>
      <c r="AT203" s="248"/>
    </row>
    <row r="204" spans="1:46" ht="13.5">
      <c r="A204" s="248"/>
      <c r="B204" s="248"/>
      <c r="C204" s="248"/>
      <c r="D204" s="248"/>
      <c r="E204" s="248"/>
      <c r="F204" s="248"/>
      <c r="G204" s="248"/>
      <c r="H204" s="248"/>
      <c r="I204" s="248"/>
      <c r="J204" s="248"/>
      <c r="K204" s="248"/>
      <c r="L204" s="248"/>
      <c r="AC204" s="215"/>
      <c r="AN204" s="429"/>
      <c r="AO204" s="429"/>
      <c r="AP204" s="429"/>
      <c r="AQ204" s="427"/>
      <c r="AR204" s="427"/>
      <c r="AS204" s="427"/>
      <c r="AT204" s="248"/>
    </row>
    <row r="205" spans="1:46" ht="13.5">
      <c r="A205" s="248"/>
      <c r="B205" s="248"/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AC205" s="215"/>
      <c r="AN205" s="429"/>
      <c r="AO205" s="429"/>
      <c r="AP205" s="429"/>
      <c r="AQ205" s="427"/>
      <c r="AR205" s="427"/>
      <c r="AS205" s="427"/>
      <c r="AT205" s="248"/>
    </row>
    <row r="206" spans="1:46" ht="13.5">
      <c r="A206" s="248"/>
      <c r="B206" s="248"/>
      <c r="C206" s="248"/>
      <c r="D206" s="248"/>
      <c r="E206" s="248"/>
      <c r="F206" s="248"/>
      <c r="G206" s="248"/>
      <c r="H206" s="248"/>
      <c r="I206" s="248"/>
      <c r="J206" s="248"/>
      <c r="K206" s="248"/>
      <c r="L206" s="248"/>
      <c r="AC206" s="215"/>
      <c r="AN206" s="429"/>
      <c r="AO206" s="429"/>
      <c r="AP206" s="429"/>
      <c r="AQ206" s="427"/>
      <c r="AR206" s="427"/>
      <c r="AS206" s="427"/>
      <c r="AT206" s="248"/>
    </row>
    <row r="207" spans="1:46" ht="13.5">
      <c r="A207" s="248"/>
      <c r="B207" s="248"/>
      <c r="C207" s="248"/>
      <c r="D207" s="248"/>
      <c r="E207" s="248"/>
      <c r="F207" s="248"/>
      <c r="G207" s="248"/>
      <c r="H207" s="248"/>
      <c r="I207" s="248"/>
      <c r="J207" s="248"/>
      <c r="K207" s="248"/>
      <c r="L207" s="248"/>
      <c r="AC207" s="215"/>
      <c r="AN207" s="429"/>
      <c r="AO207" s="429"/>
      <c r="AP207" s="429"/>
      <c r="AQ207" s="427"/>
      <c r="AR207" s="427"/>
      <c r="AS207" s="427"/>
      <c r="AT207" s="248"/>
    </row>
    <row r="208" spans="1:46" ht="13.5">
      <c r="A208" s="248"/>
      <c r="B208" s="248"/>
      <c r="C208" s="248"/>
      <c r="D208" s="248"/>
      <c r="E208" s="248"/>
      <c r="F208" s="248"/>
      <c r="G208" s="248"/>
      <c r="H208" s="248"/>
      <c r="I208" s="248"/>
      <c r="J208" s="248"/>
      <c r="K208" s="248"/>
      <c r="L208" s="248"/>
      <c r="AC208" s="215"/>
      <c r="AN208" s="429"/>
      <c r="AO208" s="429"/>
      <c r="AP208" s="429"/>
      <c r="AQ208" s="427"/>
      <c r="AR208" s="427"/>
      <c r="AS208" s="427"/>
      <c r="AT208" s="248"/>
    </row>
    <row r="209" spans="1:46" ht="13.5">
      <c r="A209" s="248"/>
      <c r="B209" s="248"/>
      <c r="C209" s="248"/>
      <c r="D209" s="248"/>
      <c r="E209" s="248"/>
      <c r="F209" s="248"/>
      <c r="G209" s="248"/>
      <c r="H209" s="248"/>
      <c r="I209" s="248"/>
      <c r="J209" s="248"/>
      <c r="K209" s="248"/>
      <c r="L209" s="248"/>
      <c r="AC209" s="215"/>
      <c r="AN209" s="429"/>
      <c r="AO209" s="429"/>
      <c r="AP209" s="429"/>
      <c r="AQ209" s="427"/>
      <c r="AR209" s="427"/>
      <c r="AS209" s="427"/>
      <c r="AT209" s="248"/>
    </row>
    <row r="210" spans="1:46" ht="13.5">
      <c r="A210" s="248"/>
      <c r="B210" s="248"/>
      <c r="C210" s="248"/>
      <c r="D210" s="248"/>
      <c r="E210" s="248"/>
      <c r="F210" s="248"/>
      <c r="G210" s="248"/>
      <c r="H210" s="248"/>
      <c r="I210" s="248"/>
      <c r="J210" s="248"/>
      <c r="K210" s="248"/>
      <c r="L210" s="248"/>
      <c r="AC210" s="215"/>
      <c r="AN210" s="429"/>
      <c r="AO210" s="429"/>
      <c r="AP210" s="429"/>
      <c r="AQ210" s="427"/>
      <c r="AR210" s="427"/>
      <c r="AS210" s="427"/>
      <c r="AT210" s="248"/>
    </row>
    <row r="211" spans="1:46" ht="13.5">
      <c r="A211" s="248"/>
      <c r="B211" s="248"/>
      <c r="C211" s="248"/>
      <c r="D211" s="248"/>
      <c r="E211" s="248"/>
      <c r="F211" s="248"/>
      <c r="G211" s="248"/>
      <c r="H211" s="248"/>
      <c r="I211" s="248"/>
      <c r="J211" s="248"/>
      <c r="K211" s="248"/>
      <c r="L211" s="248"/>
      <c r="AC211" s="215"/>
      <c r="AN211" s="429"/>
      <c r="AO211" s="429"/>
      <c r="AP211" s="429"/>
      <c r="AQ211" s="427"/>
      <c r="AR211" s="427"/>
      <c r="AS211" s="427"/>
      <c r="AT211" s="248"/>
    </row>
    <row r="212" spans="1:46" ht="13.5">
      <c r="A212" s="248"/>
      <c r="B212" s="248"/>
      <c r="C212" s="248"/>
      <c r="D212" s="248"/>
      <c r="E212" s="248"/>
      <c r="F212" s="248"/>
      <c r="G212" s="248"/>
      <c r="H212" s="248"/>
      <c r="I212" s="248"/>
      <c r="J212" s="248"/>
      <c r="K212" s="248"/>
      <c r="L212" s="248"/>
      <c r="AC212" s="215"/>
      <c r="AN212" s="429"/>
      <c r="AO212" s="429"/>
      <c r="AP212" s="429"/>
      <c r="AQ212" s="427"/>
      <c r="AR212" s="427"/>
      <c r="AS212" s="427"/>
      <c r="AT212" s="248"/>
    </row>
    <row r="213" spans="1:46" ht="13.5">
      <c r="A213" s="248"/>
      <c r="B213" s="248"/>
      <c r="C213" s="248"/>
      <c r="D213" s="248"/>
      <c r="E213" s="248"/>
      <c r="F213" s="248"/>
      <c r="G213" s="248"/>
      <c r="H213" s="248"/>
      <c r="I213" s="248"/>
      <c r="J213" s="248"/>
      <c r="K213" s="248"/>
      <c r="L213" s="248"/>
      <c r="AC213" s="215"/>
      <c r="AN213" s="429"/>
      <c r="AO213" s="429"/>
      <c r="AP213" s="429"/>
      <c r="AQ213" s="427"/>
      <c r="AR213" s="427"/>
      <c r="AS213" s="427"/>
      <c r="AT213" s="248"/>
    </row>
    <row r="214" spans="1:46" ht="13.5">
      <c r="A214" s="248"/>
      <c r="B214" s="248"/>
      <c r="C214" s="248"/>
      <c r="D214" s="248"/>
      <c r="E214" s="248"/>
      <c r="F214" s="248"/>
      <c r="G214" s="248"/>
      <c r="H214" s="248"/>
      <c r="I214" s="248"/>
      <c r="J214" s="248"/>
      <c r="K214" s="248"/>
      <c r="L214" s="248"/>
      <c r="AC214" s="215"/>
      <c r="AN214" s="429"/>
      <c r="AO214" s="429"/>
      <c r="AP214" s="429"/>
      <c r="AQ214" s="427"/>
      <c r="AR214" s="427"/>
      <c r="AS214" s="427"/>
      <c r="AT214" s="248"/>
    </row>
    <row r="215" spans="1:46" ht="13.5">
      <c r="A215" s="248"/>
      <c r="B215" s="248"/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AC215" s="215"/>
      <c r="AN215" s="429"/>
      <c r="AO215" s="429"/>
      <c r="AP215" s="429"/>
      <c r="AQ215" s="427"/>
      <c r="AR215" s="427"/>
      <c r="AS215" s="427"/>
      <c r="AT215" s="248"/>
    </row>
    <row r="216" spans="1:46" ht="13.5">
      <c r="A216" s="248"/>
      <c r="B216" s="248"/>
      <c r="C216" s="248"/>
      <c r="D216" s="248"/>
      <c r="E216" s="248"/>
      <c r="F216" s="248"/>
      <c r="G216" s="248"/>
      <c r="H216" s="248"/>
      <c r="I216" s="248"/>
      <c r="J216" s="248"/>
      <c r="K216" s="248"/>
      <c r="L216" s="248"/>
      <c r="AC216" s="215"/>
      <c r="AN216" s="429"/>
      <c r="AO216" s="429"/>
      <c r="AP216" s="429"/>
      <c r="AQ216" s="427"/>
      <c r="AR216" s="427"/>
      <c r="AS216" s="427"/>
      <c r="AT216" s="248"/>
    </row>
    <row r="217" spans="1:46" ht="13.5">
      <c r="A217" s="248"/>
      <c r="B217" s="248"/>
      <c r="C217" s="248"/>
      <c r="D217" s="248"/>
      <c r="E217" s="248"/>
      <c r="F217" s="248"/>
      <c r="G217" s="248"/>
      <c r="H217" s="248"/>
      <c r="I217" s="248"/>
      <c r="J217" s="248"/>
      <c r="K217" s="248"/>
      <c r="L217" s="248"/>
      <c r="AC217" s="215"/>
      <c r="AN217" s="429"/>
      <c r="AO217" s="429"/>
      <c r="AP217" s="429"/>
      <c r="AQ217" s="427"/>
      <c r="AR217" s="427"/>
      <c r="AS217" s="427"/>
      <c r="AT217" s="248"/>
    </row>
    <row r="218" spans="1:46" ht="13.5">
      <c r="A218" s="248"/>
      <c r="B218" s="248"/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AC218" s="215"/>
      <c r="AN218" s="429"/>
      <c r="AO218" s="429"/>
      <c r="AP218" s="429"/>
      <c r="AQ218" s="427"/>
      <c r="AR218" s="427"/>
      <c r="AS218" s="427"/>
      <c r="AT218" s="248"/>
    </row>
    <row r="219" spans="1:46" ht="13.5">
      <c r="A219" s="248"/>
      <c r="B219" s="248"/>
      <c r="C219" s="248"/>
      <c r="D219" s="248"/>
      <c r="E219" s="248"/>
      <c r="F219" s="248"/>
      <c r="G219" s="248"/>
      <c r="H219" s="248"/>
      <c r="I219" s="248"/>
      <c r="J219" s="248"/>
      <c r="K219" s="248"/>
      <c r="L219" s="248"/>
      <c r="AC219" s="215"/>
      <c r="AN219" s="429"/>
      <c r="AO219" s="429"/>
      <c r="AP219" s="429"/>
      <c r="AQ219" s="427"/>
      <c r="AR219" s="427"/>
      <c r="AS219" s="427"/>
      <c r="AT219" s="248"/>
    </row>
    <row r="220" spans="1:46" ht="13.5">
      <c r="A220" s="248"/>
      <c r="B220" s="248"/>
      <c r="C220" s="248"/>
      <c r="D220" s="248"/>
      <c r="E220" s="248"/>
      <c r="F220" s="248"/>
      <c r="G220" s="248"/>
      <c r="H220" s="248"/>
      <c r="I220" s="248"/>
      <c r="J220" s="248"/>
      <c r="K220" s="248"/>
      <c r="L220" s="248"/>
      <c r="AC220" s="215"/>
      <c r="AN220" s="429"/>
      <c r="AO220" s="429"/>
      <c r="AP220" s="429"/>
      <c r="AQ220" s="427"/>
      <c r="AR220" s="427"/>
      <c r="AS220" s="427"/>
      <c r="AT220" s="248"/>
    </row>
    <row r="221" spans="1:46" ht="13.5">
      <c r="A221" s="248"/>
      <c r="B221" s="248"/>
      <c r="C221" s="248"/>
      <c r="D221" s="248"/>
      <c r="E221" s="248"/>
      <c r="F221" s="248"/>
      <c r="G221" s="248"/>
      <c r="H221" s="248"/>
      <c r="I221" s="248"/>
      <c r="J221" s="248"/>
      <c r="K221" s="248"/>
      <c r="L221" s="248"/>
      <c r="AC221" s="215"/>
      <c r="AN221" s="429"/>
      <c r="AO221" s="429"/>
      <c r="AP221" s="429"/>
      <c r="AQ221" s="427"/>
      <c r="AR221" s="427"/>
      <c r="AS221" s="427"/>
      <c r="AT221" s="248"/>
    </row>
    <row r="222" spans="1:46" ht="13.5">
      <c r="A222" s="248"/>
      <c r="B222" s="248"/>
      <c r="C222" s="248"/>
      <c r="D222" s="248"/>
      <c r="E222" s="248"/>
      <c r="F222" s="248"/>
      <c r="G222" s="248"/>
      <c r="H222" s="248"/>
      <c r="I222" s="248"/>
      <c r="J222" s="248"/>
      <c r="K222" s="248"/>
      <c r="L222" s="248"/>
      <c r="AC222" s="215"/>
      <c r="AN222" s="429"/>
      <c r="AO222" s="429"/>
      <c r="AP222" s="429"/>
      <c r="AQ222" s="427"/>
      <c r="AR222" s="427"/>
      <c r="AS222" s="427"/>
      <c r="AT222" s="248"/>
    </row>
    <row r="223" spans="1:46" ht="13.5">
      <c r="A223" s="248"/>
      <c r="B223" s="248"/>
      <c r="C223" s="248"/>
      <c r="D223" s="248"/>
      <c r="E223" s="248"/>
      <c r="F223" s="248"/>
      <c r="G223" s="248"/>
      <c r="H223" s="248"/>
      <c r="I223" s="248"/>
      <c r="J223" s="248"/>
      <c r="K223" s="248"/>
      <c r="L223" s="248"/>
      <c r="AC223" s="215"/>
      <c r="AN223" s="429"/>
      <c r="AO223" s="429"/>
      <c r="AP223" s="429"/>
      <c r="AQ223" s="427"/>
      <c r="AR223" s="427"/>
      <c r="AS223" s="427"/>
      <c r="AT223" s="248"/>
    </row>
    <row r="224" spans="1:46" ht="13.5">
      <c r="A224" s="248"/>
      <c r="B224" s="248"/>
      <c r="C224" s="248"/>
      <c r="D224" s="248"/>
      <c r="E224" s="248"/>
      <c r="F224" s="248"/>
      <c r="G224" s="248"/>
      <c r="H224" s="248"/>
      <c r="I224" s="248"/>
      <c r="J224" s="248"/>
      <c r="K224" s="248"/>
      <c r="L224" s="248"/>
      <c r="AC224" s="215"/>
      <c r="AN224" s="429"/>
      <c r="AO224" s="429"/>
      <c r="AP224" s="429"/>
      <c r="AQ224" s="427"/>
      <c r="AR224" s="427"/>
      <c r="AS224" s="427"/>
      <c r="AT224" s="248"/>
    </row>
    <row r="225" spans="1:46" ht="13.5">
      <c r="A225" s="248"/>
      <c r="B225" s="248"/>
      <c r="C225" s="248"/>
      <c r="D225" s="248"/>
      <c r="E225" s="248"/>
      <c r="F225" s="248"/>
      <c r="G225" s="248"/>
      <c r="H225" s="248"/>
      <c r="I225" s="248"/>
      <c r="J225" s="248"/>
      <c r="K225" s="248"/>
      <c r="L225" s="248"/>
      <c r="AC225" s="215"/>
      <c r="AN225" s="429"/>
      <c r="AO225" s="429"/>
      <c r="AP225" s="429"/>
      <c r="AQ225" s="427"/>
      <c r="AR225" s="427"/>
      <c r="AS225" s="427"/>
      <c r="AT225" s="248"/>
    </row>
    <row r="226" spans="1:46" ht="13.5">
      <c r="A226" s="248"/>
      <c r="B226" s="248"/>
      <c r="C226" s="248"/>
      <c r="D226" s="248"/>
      <c r="E226" s="248"/>
      <c r="F226" s="248"/>
      <c r="G226" s="248"/>
      <c r="H226" s="248"/>
      <c r="I226" s="248"/>
      <c r="J226" s="248"/>
      <c r="K226" s="248"/>
      <c r="L226" s="248"/>
      <c r="AC226" s="215"/>
      <c r="AN226" s="429"/>
      <c r="AO226" s="429"/>
      <c r="AP226" s="429"/>
      <c r="AQ226" s="427"/>
      <c r="AR226" s="427"/>
      <c r="AS226" s="427"/>
      <c r="AT226" s="248"/>
    </row>
    <row r="227" spans="1:46" ht="13.5">
      <c r="A227" s="248"/>
      <c r="B227" s="248"/>
      <c r="C227" s="248"/>
      <c r="D227" s="248"/>
      <c r="E227" s="248"/>
      <c r="F227" s="248"/>
      <c r="G227" s="248"/>
      <c r="H227" s="248"/>
      <c r="I227" s="248"/>
      <c r="J227" s="248"/>
      <c r="K227" s="248"/>
      <c r="L227" s="248"/>
      <c r="AC227" s="215"/>
      <c r="AN227" s="429"/>
      <c r="AO227" s="429"/>
      <c r="AP227" s="429"/>
      <c r="AQ227" s="427"/>
      <c r="AR227" s="427"/>
      <c r="AS227" s="427"/>
      <c r="AT227" s="248"/>
    </row>
    <row r="228" spans="1:46" ht="13.5">
      <c r="A228" s="248"/>
      <c r="B228" s="248"/>
      <c r="C228" s="248"/>
      <c r="D228" s="248"/>
      <c r="E228" s="248"/>
      <c r="F228" s="248"/>
      <c r="G228" s="248"/>
      <c r="H228" s="248"/>
      <c r="I228" s="248"/>
      <c r="J228" s="248"/>
      <c r="K228" s="248"/>
      <c r="L228" s="248"/>
      <c r="AC228" s="215"/>
      <c r="AN228" s="429"/>
      <c r="AO228" s="429"/>
      <c r="AP228" s="429"/>
      <c r="AQ228" s="427"/>
      <c r="AR228" s="427"/>
      <c r="AS228" s="427"/>
      <c r="AT228" s="248"/>
    </row>
    <row r="229" spans="1:46" ht="13.5">
      <c r="A229" s="248"/>
      <c r="B229" s="248"/>
      <c r="C229" s="248"/>
      <c r="D229" s="248"/>
      <c r="E229" s="248"/>
      <c r="F229" s="248"/>
      <c r="G229" s="248"/>
      <c r="H229" s="248"/>
      <c r="I229" s="248"/>
      <c r="J229" s="248"/>
      <c r="K229" s="248"/>
      <c r="L229" s="248"/>
      <c r="AC229" s="215"/>
      <c r="AR229" s="426"/>
      <c r="AS229" s="426"/>
      <c r="AT229" s="248"/>
    </row>
    <row r="230" spans="1:46" ht="13.5">
      <c r="A230" s="248"/>
      <c r="B230" s="248"/>
      <c r="C230" s="248"/>
      <c r="D230" s="248"/>
      <c r="E230" s="248"/>
      <c r="F230" s="248"/>
      <c r="G230" s="248"/>
      <c r="H230" s="248"/>
      <c r="I230" s="248"/>
      <c r="J230" s="248"/>
      <c r="K230" s="248"/>
      <c r="L230" s="248"/>
      <c r="AC230" s="215"/>
      <c r="AR230" s="426"/>
      <c r="AS230" s="426"/>
      <c r="AT230" s="248"/>
    </row>
    <row r="231" spans="1:46" ht="13.5">
      <c r="A231" s="248"/>
      <c r="B231" s="248"/>
      <c r="C231" s="248"/>
      <c r="D231" s="248"/>
      <c r="E231" s="248"/>
      <c r="F231" s="248"/>
      <c r="G231" s="248"/>
      <c r="H231" s="248"/>
      <c r="I231" s="248"/>
      <c r="J231" s="248"/>
      <c r="K231" s="248"/>
      <c r="L231" s="248"/>
      <c r="AC231" s="215"/>
      <c r="AR231" s="426"/>
      <c r="AS231" s="426"/>
      <c r="AT231" s="248"/>
    </row>
    <row r="232" spans="1:46" ht="13.5">
      <c r="A232" s="248"/>
      <c r="B232" s="248"/>
      <c r="C232" s="248"/>
      <c r="D232" s="248"/>
      <c r="E232" s="248"/>
      <c r="F232" s="248"/>
      <c r="G232" s="248"/>
      <c r="H232" s="248"/>
      <c r="I232" s="248"/>
      <c r="J232" s="248"/>
      <c r="K232" s="248"/>
      <c r="L232" s="248"/>
      <c r="AC232" s="215"/>
      <c r="AR232" s="426"/>
      <c r="AS232" s="426"/>
      <c r="AT232" s="248"/>
    </row>
    <row r="233" spans="1:46" ht="13.5">
      <c r="A233" s="248"/>
      <c r="B233" s="248"/>
      <c r="C233" s="248"/>
      <c r="D233" s="248"/>
      <c r="E233" s="248"/>
      <c r="F233" s="248"/>
      <c r="G233" s="248"/>
      <c r="H233" s="248"/>
      <c r="I233" s="248"/>
      <c r="J233" s="248"/>
      <c r="K233" s="248"/>
      <c r="L233" s="248"/>
      <c r="AC233" s="215"/>
      <c r="AR233" s="426"/>
      <c r="AS233" s="426"/>
      <c r="AT233" s="248"/>
    </row>
    <row r="234" spans="1:46" ht="13.5">
      <c r="A234" s="248"/>
      <c r="B234" s="248"/>
      <c r="C234" s="248"/>
      <c r="D234" s="248"/>
      <c r="E234" s="248"/>
      <c r="F234" s="248"/>
      <c r="G234" s="248"/>
      <c r="H234" s="248"/>
      <c r="I234" s="248"/>
      <c r="J234" s="248"/>
      <c r="K234" s="248"/>
      <c r="L234" s="248"/>
      <c r="AC234" s="215"/>
      <c r="AR234" s="426"/>
      <c r="AS234" s="426"/>
      <c r="AT234" s="248"/>
    </row>
    <row r="235" spans="1:46" ht="13.5">
      <c r="A235" s="248"/>
      <c r="B235" s="248"/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AC235" s="215"/>
      <c r="AR235" s="426"/>
      <c r="AS235" s="426"/>
      <c r="AT235" s="248"/>
    </row>
    <row r="236" spans="1:46" ht="13.5">
      <c r="A236" s="248"/>
      <c r="B236" s="248"/>
      <c r="C236" s="248"/>
      <c r="D236" s="248"/>
      <c r="E236" s="248"/>
      <c r="F236" s="248"/>
      <c r="G236" s="248"/>
      <c r="H236" s="248"/>
      <c r="I236" s="248"/>
      <c r="J236" s="248"/>
      <c r="K236" s="248"/>
      <c r="L236" s="248"/>
      <c r="AC236" s="215"/>
      <c r="AR236" s="426"/>
      <c r="AS236" s="426"/>
      <c r="AT236" s="248"/>
    </row>
    <row r="237" spans="1:46" ht="13.5">
      <c r="A237" s="248"/>
      <c r="B237" s="248"/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  <c r="AC237" s="215"/>
      <c r="AR237" s="426"/>
      <c r="AS237" s="426"/>
      <c r="AT237" s="248"/>
    </row>
    <row r="238" spans="1:46" ht="13.5">
      <c r="A238" s="248"/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  <c r="L238" s="248"/>
      <c r="AR238" s="426"/>
      <c r="AS238" s="426"/>
      <c r="AT238" s="248"/>
    </row>
    <row r="239" spans="1:46" ht="13.5">
      <c r="A239" s="248"/>
      <c r="B239" s="248"/>
      <c r="C239" s="248"/>
      <c r="D239" s="248"/>
      <c r="E239" s="248"/>
      <c r="F239" s="248"/>
      <c r="G239" s="248"/>
      <c r="H239" s="248"/>
      <c r="I239" s="248"/>
      <c r="J239" s="248"/>
      <c r="K239" s="248"/>
      <c r="L239" s="248"/>
      <c r="AR239" s="426"/>
      <c r="AS239" s="426"/>
      <c r="AT239" s="248"/>
    </row>
    <row r="240" spans="1:46" ht="13.5">
      <c r="A240" s="248"/>
      <c r="B240" s="248"/>
      <c r="C240" s="248"/>
      <c r="D240" s="248"/>
      <c r="E240" s="248"/>
      <c r="F240" s="248"/>
      <c r="G240" s="248"/>
      <c r="H240" s="248"/>
      <c r="I240" s="248"/>
      <c r="J240" s="248"/>
      <c r="K240" s="248"/>
      <c r="L240" s="248"/>
      <c r="AR240" s="426"/>
      <c r="AS240" s="426"/>
      <c r="AT240" s="248"/>
    </row>
    <row r="241" spans="1:46" ht="13.5">
      <c r="A241" s="248"/>
      <c r="B241" s="248"/>
      <c r="C241" s="248"/>
      <c r="D241" s="248"/>
      <c r="E241" s="248"/>
      <c r="F241" s="248"/>
      <c r="G241" s="248"/>
      <c r="H241" s="248"/>
      <c r="I241" s="248"/>
      <c r="J241" s="248"/>
      <c r="K241" s="248"/>
      <c r="L241" s="248"/>
      <c r="AR241" s="426"/>
      <c r="AS241" s="426"/>
      <c r="AT241" s="248"/>
    </row>
    <row r="242" spans="1:46" ht="13.5">
      <c r="A242" s="248"/>
      <c r="B242" s="248"/>
      <c r="C242" s="248"/>
      <c r="D242" s="248"/>
      <c r="E242" s="248"/>
      <c r="F242" s="248"/>
      <c r="G242" s="248"/>
      <c r="H242" s="248"/>
      <c r="I242" s="248"/>
      <c r="J242" s="248"/>
      <c r="K242" s="248"/>
      <c r="L242" s="248"/>
      <c r="AR242" s="426"/>
      <c r="AS242" s="426"/>
      <c r="AT242" s="248"/>
    </row>
    <row r="243" spans="1:46" ht="13.5">
      <c r="A243" s="248"/>
      <c r="B243" s="248"/>
      <c r="C243" s="248"/>
      <c r="D243" s="248"/>
      <c r="E243" s="248"/>
      <c r="F243" s="248"/>
      <c r="G243" s="248"/>
      <c r="H243" s="248"/>
      <c r="I243" s="248"/>
      <c r="J243" s="248"/>
      <c r="K243" s="248"/>
      <c r="L243" s="248"/>
      <c r="AR243" s="426"/>
      <c r="AS243" s="426"/>
      <c r="AT243" s="248"/>
    </row>
    <row r="244" spans="1:46" ht="13.5">
      <c r="A244" s="248"/>
      <c r="B244" s="248"/>
      <c r="C244" s="248"/>
      <c r="D244" s="248"/>
      <c r="E244" s="248"/>
      <c r="F244" s="248"/>
      <c r="G244" s="248"/>
      <c r="H244" s="248"/>
      <c r="I244" s="248"/>
      <c r="J244" s="248"/>
      <c r="K244" s="248"/>
      <c r="L244" s="248"/>
      <c r="AR244" s="426"/>
      <c r="AS244" s="426"/>
      <c r="AT244" s="248"/>
    </row>
    <row r="245" spans="1:46" ht="13.5">
      <c r="A245" s="248"/>
      <c r="B245" s="248"/>
      <c r="C245" s="248"/>
      <c r="D245" s="248"/>
      <c r="E245" s="248"/>
      <c r="F245" s="248"/>
      <c r="G245" s="248"/>
      <c r="H245" s="248"/>
      <c r="I245" s="248"/>
      <c r="J245" s="248"/>
      <c r="K245" s="248"/>
      <c r="L245" s="248"/>
      <c r="AR245" s="426"/>
      <c r="AS245" s="426"/>
      <c r="AT245" s="248"/>
    </row>
    <row r="246" spans="1:46" ht="13.5">
      <c r="A246" s="248"/>
      <c r="B246" s="248"/>
      <c r="C246" s="248"/>
      <c r="D246" s="248"/>
      <c r="E246" s="248"/>
      <c r="F246" s="248"/>
      <c r="G246" s="248"/>
      <c r="H246" s="248"/>
      <c r="I246" s="248"/>
      <c r="J246" s="248"/>
      <c r="K246" s="248"/>
      <c r="L246" s="248"/>
      <c r="AR246" s="426"/>
      <c r="AS246" s="426"/>
      <c r="AT246" s="248"/>
    </row>
    <row r="247" spans="1:46" ht="13.5">
      <c r="A247" s="248"/>
      <c r="B247" s="248"/>
      <c r="C247" s="248"/>
      <c r="D247" s="248"/>
      <c r="E247" s="248"/>
      <c r="F247" s="248"/>
      <c r="G247" s="248"/>
      <c r="H247" s="248"/>
      <c r="I247" s="248"/>
      <c r="J247" s="248"/>
      <c r="K247" s="248"/>
      <c r="L247" s="248"/>
      <c r="AR247" s="426"/>
      <c r="AS247" s="426"/>
      <c r="AT247" s="248"/>
    </row>
    <row r="248" spans="1:46" ht="13.5">
      <c r="A248" s="248"/>
      <c r="B248" s="248"/>
      <c r="C248" s="248"/>
      <c r="D248" s="248"/>
      <c r="E248" s="248"/>
      <c r="F248" s="248"/>
      <c r="G248" s="248"/>
      <c r="H248" s="248"/>
      <c r="I248" s="248"/>
      <c r="J248" s="248"/>
      <c r="K248" s="248"/>
      <c r="L248" s="248"/>
      <c r="AR248" s="426"/>
      <c r="AS248" s="426"/>
      <c r="AT248" s="248"/>
    </row>
    <row r="249" spans="1:46" ht="13.5">
      <c r="A249" s="248"/>
      <c r="B249" s="248"/>
      <c r="C249" s="248"/>
      <c r="D249" s="248"/>
      <c r="E249" s="248"/>
      <c r="F249" s="248"/>
      <c r="G249" s="248"/>
      <c r="H249" s="248"/>
      <c r="I249" s="248"/>
      <c r="J249" s="248"/>
      <c r="K249" s="248"/>
      <c r="L249" s="248"/>
      <c r="AR249" s="426"/>
      <c r="AS249" s="426"/>
      <c r="AT249" s="248"/>
    </row>
    <row r="250" spans="1:46" ht="13.5">
      <c r="A250" s="248"/>
      <c r="B250" s="248"/>
      <c r="C250" s="248"/>
      <c r="D250" s="248"/>
      <c r="E250" s="248"/>
      <c r="F250" s="248"/>
      <c r="G250" s="248"/>
      <c r="H250" s="248"/>
      <c r="I250" s="248"/>
      <c r="J250" s="248"/>
      <c r="K250" s="248"/>
      <c r="L250" s="248"/>
      <c r="AR250" s="426"/>
      <c r="AS250" s="426"/>
      <c r="AT250" s="248"/>
    </row>
    <row r="251" spans="1:46" ht="13.5">
      <c r="A251" s="248"/>
      <c r="B251" s="248"/>
      <c r="C251" s="248"/>
      <c r="D251" s="248"/>
      <c r="E251" s="248"/>
      <c r="F251" s="248"/>
      <c r="G251" s="248"/>
      <c r="H251" s="248"/>
      <c r="I251" s="248"/>
      <c r="J251" s="248"/>
      <c r="K251" s="248"/>
      <c r="L251" s="248"/>
      <c r="AR251" s="426"/>
      <c r="AS251" s="426"/>
      <c r="AT251" s="248"/>
    </row>
    <row r="252" spans="1:46" ht="13.5">
      <c r="A252" s="248"/>
      <c r="B252" s="248"/>
      <c r="C252" s="248"/>
      <c r="D252" s="248"/>
      <c r="E252" s="248"/>
      <c r="F252" s="248"/>
      <c r="G252" s="248"/>
      <c r="H252" s="248"/>
      <c r="I252" s="248"/>
      <c r="J252" s="248"/>
      <c r="K252" s="248"/>
      <c r="L252" s="248"/>
      <c r="AR252" s="426"/>
      <c r="AS252" s="426"/>
      <c r="AT252" s="248"/>
    </row>
    <row r="253" spans="1:46" ht="13.5">
      <c r="A253" s="248"/>
      <c r="B253" s="248"/>
      <c r="C253" s="248"/>
      <c r="D253" s="248"/>
      <c r="E253" s="248"/>
      <c r="F253" s="248"/>
      <c r="G253" s="248"/>
      <c r="H253" s="248"/>
      <c r="I253" s="248"/>
      <c r="J253" s="248"/>
      <c r="K253" s="248"/>
      <c r="L253" s="248"/>
      <c r="AR253" s="426"/>
      <c r="AS253" s="426"/>
      <c r="AT253" s="248"/>
    </row>
    <row r="254" spans="1:46" ht="13.5">
      <c r="A254" s="248"/>
      <c r="B254" s="248"/>
      <c r="C254" s="248"/>
      <c r="D254" s="248"/>
      <c r="E254" s="248"/>
      <c r="F254" s="248"/>
      <c r="G254" s="248"/>
      <c r="H254" s="248"/>
      <c r="I254" s="248"/>
      <c r="J254" s="248"/>
      <c r="K254" s="248"/>
      <c r="L254" s="248"/>
      <c r="AR254" s="426"/>
      <c r="AS254" s="426"/>
      <c r="AT254" s="248"/>
    </row>
    <row r="255" spans="1:46" ht="13.5">
      <c r="A255" s="248"/>
      <c r="B255" s="248"/>
      <c r="C255" s="248"/>
      <c r="D255" s="248"/>
      <c r="E255" s="248"/>
      <c r="F255" s="248"/>
      <c r="G255" s="248"/>
      <c r="H255" s="248"/>
      <c r="I255" s="248"/>
      <c r="J255" s="248"/>
      <c r="K255" s="248"/>
      <c r="L255" s="248"/>
      <c r="AR255" s="426"/>
      <c r="AS255" s="426"/>
      <c r="AT255" s="248"/>
    </row>
    <row r="256" spans="1:46" ht="13.5">
      <c r="A256" s="248"/>
      <c r="B256" s="248"/>
      <c r="C256" s="248"/>
      <c r="D256" s="248"/>
      <c r="E256" s="248"/>
      <c r="F256" s="248"/>
      <c r="G256" s="248"/>
      <c r="H256" s="248"/>
      <c r="I256" s="248"/>
      <c r="J256" s="248"/>
      <c r="K256" s="248"/>
      <c r="L256" s="248"/>
      <c r="AR256" s="426"/>
      <c r="AS256" s="426"/>
      <c r="AT256" s="248"/>
    </row>
    <row r="257" spans="1:46" ht="13.5">
      <c r="A257" s="248"/>
      <c r="B257" s="248"/>
      <c r="C257" s="248"/>
      <c r="D257" s="248"/>
      <c r="E257" s="248"/>
      <c r="F257" s="248"/>
      <c r="G257" s="248"/>
      <c r="H257" s="248"/>
      <c r="I257" s="248"/>
      <c r="J257" s="248"/>
      <c r="K257" s="248"/>
      <c r="L257" s="248"/>
      <c r="AR257" s="426"/>
      <c r="AS257" s="426"/>
      <c r="AT257" s="248"/>
    </row>
    <row r="258" spans="1:46" ht="13.5">
      <c r="A258" s="248"/>
      <c r="B258" s="248"/>
      <c r="C258" s="248"/>
      <c r="D258" s="248"/>
      <c r="E258" s="248"/>
      <c r="F258" s="248"/>
      <c r="G258" s="248"/>
      <c r="H258" s="248"/>
      <c r="I258" s="248"/>
      <c r="J258" s="248"/>
      <c r="K258" s="248"/>
      <c r="L258" s="248"/>
      <c r="AR258" s="426"/>
      <c r="AS258" s="426"/>
      <c r="AT258" s="248"/>
    </row>
    <row r="259" spans="1:46" ht="13.5">
      <c r="A259" s="248"/>
      <c r="B259" s="248"/>
      <c r="C259" s="248"/>
      <c r="D259" s="248"/>
      <c r="E259" s="248"/>
      <c r="F259" s="248"/>
      <c r="G259" s="248"/>
      <c r="H259" s="248"/>
      <c r="I259" s="248"/>
      <c r="J259" s="248"/>
      <c r="K259" s="248"/>
      <c r="L259" s="248"/>
      <c r="AR259" s="426"/>
      <c r="AS259" s="426"/>
      <c r="AT259" s="248"/>
    </row>
    <row r="260" spans="1:46" ht="13.5">
      <c r="A260" s="248"/>
      <c r="B260" s="248"/>
      <c r="C260" s="248"/>
      <c r="D260" s="248"/>
      <c r="E260" s="248"/>
      <c r="F260" s="248"/>
      <c r="G260" s="248"/>
      <c r="H260" s="248"/>
      <c r="I260" s="248"/>
      <c r="J260" s="248"/>
      <c r="K260" s="248"/>
      <c r="L260" s="248"/>
      <c r="AR260" s="426"/>
      <c r="AS260" s="426"/>
      <c r="AT260" s="248"/>
    </row>
    <row r="261" spans="1:46" ht="13.5">
      <c r="A261" s="248"/>
      <c r="B261" s="248"/>
      <c r="C261" s="248"/>
      <c r="D261" s="248"/>
      <c r="E261" s="248"/>
      <c r="F261" s="248"/>
      <c r="G261" s="248"/>
      <c r="H261" s="248"/>
      <c r="I261" s="248"/>
      <c r="J261" s="248"/>
      <c r="K261" s="248"/>
      <c r="L261" s="248"/>
      <c r="AR261" s="426"/>
      <c r="AS261" s="426"/>
      <c r="AT261" s="248"/>
    </row>
    <row r="262" spans="1:46" ht="13.5">
      <c r="A262" s="248"/>
      <c r="B262" s="248"/>
      <c r="C262" s="248"/>
      <c r="D262" s="248"/>
      <c r="E262" s="248"/>
      <c r="F262" s="248"/>
      <c r="G262" s="248"/>
      <c r="H262" s="248"/>
      <c r="I262" s="248"/>
      <c r="J262" s="248"/>
      <c r="K262" s="248"/>
      <c r="L262" s="248"/>
      <c r="AR262" s="426"/>
      <c r="AS262" s="426"/>
      <c r="AT262" s="248"/>
    </row>
    <row r="263" spans="1:46" ht="13.5">
      <c r="A263" s="248"/>
      <c r="B263" s="248"/>
      <c r="C263" s="248"/>
      <c r="D263" s="248"/>
      <c r="E263" s="248"/>
      <c r="F263" s="248"/>
      <c r="G263" s="248"/>
      <c r="H263" s="248"/>
      <c r="I263" s="248"/>
      <c r="J263" s="248"/>
      <c r="K263" s="248"/>
      <c r="L263" s="248"/>
      <c r="AR263" s="426"/>
      <c r="AS263" s="426"/>
      <c r="AT263" s="248"/>
    </row>
    <row r="264" spans="1:46" ht="13.5">
      <c r="A264" s="248"/>
      <c r="B264" s="248"/>
      <c r="C264" s="248"/>
      <c r="D264" s="248"/>
      <c r="E264" s="248"/>
      <c r="F264" s="248"/>
      <c r="G264" s="248"/>
      <c r="H264" s="248"/>
      <c r="I264" s="248"/>
      <c r="J264" s="248"/>
      <c r="K264" s="248"/>
      <c r="L264" s="248"/>
      <c r="AR264" s="426"/>
      <c r="AS264" s="426"/>
      <c r="AT264" s="248"/>
    </row>
    <row r="265" spans="1:46" ht="13.5">
      <c r="A265" s="248"/>
      <c r="B265" s="248"/>
      <c r="C265" s="248"/>
      <c r="D265" s="248"/>
      <c r="E265" s="248"/>
      <c r="F265" s="248"/>
      <c r="G265" s="248"/>
      <c r="H265" s="248"/>
      <c r="I265" s="248"/>
      <c r="J265" s="248"/>
      <c r="K265" s="248"/>
      <c r="L265" s="248"/>
      <c r="AR265" s="426"/>
      <c r="AS265" s="426"/>
      <c r="AT265" s="248"/>
    </row>
    <row r="266" spans="1:46" ht="13.5">
      <c r="A266" s="248"/>
      <c r="B266" s="248"/>
      <c r="C266" s="248"/>
      <c r="D266" s="248"/>
      <c r="E266" s="248"/>
      <c r="F266" s="248"/>
      <c r="G266" s="248"/>
      <c r="H266" s="248"/>
      <c r="I266" s="248"/>
      <c r="J266" s="248"/>
      <c r="K266" s="248"/>
      <c r="L266" s="248"/>
      <c r="AR266" s="426"/>
      <c r="AS266" s="426"/>
      <c r="AT266" s="248"/>
    </row>
    <row r="267" spans="1:46" ht="13.5">
      <c r="A267" s="248"/>
      <c r="B267" s="248"/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  <c r="AR267" s="426"/>
      <c r="AS267" s="426"/>
      <c r="AT267" s="248"/>
    </row>
    <row r="268" spans="1:46" ht="13.5">
      <c r="A268" s="248"/>
      <c r="B268" s="248"/>
      <c r="C268" s="248"/>
      <c r="D268" s="248"/>
      <c r="E268" s="248"/>
      <c r="F268" s="248"/>
      <c r="G268" s="248"/>
      <c r="H268" s="248"/>
      <c r="I268" s="248"/>
      <c r="J268" s="248"/>
      <c r="K268" s="248"/>
      <c r="L268" s="248"/>
      <c r="AR268" s="426"/>
      <c r="AS268" s="426"/>
      <c r="AT268" s="248"/>
    </row>
    <row r="269" spans="1:46" ht="13.5">
      <c r="A269" s="248"/>
      <c r="B269" s="248"/>
      <c r="C269" s="248"/>
      <c r="D269" s="248"/>
      <c r="E269" s="248"/>
      <c r="F269" s="248"/>
      <c r="G269" s="248"/>
      <c r="H269" s="248"/>
      <c r="I269" s="248"/>
      <c r="J269" s="248"/>
      <c r="K269" s="248"/>
      <c r="L269" s="248"/>
      <c r="AR269" s="426"/>
      <c r="AS269" s="426"/>
      <c r="AT269" s="248"/>
    </row>
    <row r="270" spans="1:46" ht="13.5">
      <c r="A270" s="248"/>
      <c r="B270" s="248"/>
      <c r="C270" s="248"/>
      <c r="D270" s="248"/>
      <c r="E270" s="248"/>
      <c r="F270" s="248"/>
      <c r="G270" s="248"/>
      <c r="H270" s="248"/>
      <c r="I270" s="248"/>
      <c r="J270" s="248"/>
      <c r="K270" s="248"/>
      <c r="L270" s="248"/>
      <c r="AR270" s="426"/>
      <c r="AS270" s="426"/>
      <c r="AT270" s="248"/>
    </row>
    <row r="271" spans="1:46" ht="13.5">
      <c r="A271" s="248"/>
      <c r="B271" s="248"/>
      <c r="C271" s="248"/>
      <c r="D271" s="248"/>
      <c r="E271" s="248"/>
      <c r="F271" s="248"/>
      <c r="G271" s="248"/>
      <c r="H271" s="248"/>
      <c r="I271" s="248"/>
      <c r="J271" s="248"/>
      <c r="K271" s="248"/>
      <c r="L271" s="248"/>
      <c r="AR271" s="426"/>
      <c r="AS271" s="426"/>
      <c r="AT271" s="248"/>
    </row>
    <row r="272" spans="1:46" ht="13.5">
      <c r="A272" s="248"/>
      <c r="B272" s="248"/>
      <c r="C272" s="248"/>
      <c r="D272" s="248"/>
      <c r="E272" s="248"/>
      <c r="F272" s="248"/>
      <c r="G272" s="248"/>
      <c r="H272" s="248"/>
      <c r="I272" s="248"/>
      <c r="J272" s="248"/>
      <c r="K272" s="248"/>
      <c r="L272" s="248"/>
      <c r="AR272" s="426"/>
      <c r="AS272" s="426"/>
      <c r="AT272" s="248"/>
    </row>
    <row r="273" spans="1:46" ht="13.5">
      <c r="A273" s="248"/>
      <c r="B273" s="248"/>
      <c r="C273" s="248"/>
      <c r="D273" s="248"/>
      <c r="E273" s="248"/>
      <c r="F273" s="248"/>
      <c r="G273" s="248"/>
      <c r="H273" s="248"/>
      <c r="I273" s="248"/>
      <c r="J273" s="248"/>
      <c r="K273" s="248"/>
      <c r="L273" s="248"/>
      <c r="AR273" s="426"/>
      <c r="AS273" s="426"/>
      <c r="AT273" s="248"/>
    </row>
    <row r="274" spans="1:46" ht="13.5">
      <c r="A274" s="248"/>
      <c r="B274" s="248"/>
      <c r="C274" s="248"/>
      <c r="D274" s="248"/>
      <c r="E274" s="248"/>
      <c r="F274" s="248"/>
      <c r="G274" s="248"/>
      <c r="H274" s="248"/>
      <c r="I274" s="248"/>
      <c r="J274" s="248"/>
      <c r="K274" s="248"/>
      <c r="L274" s="248"/>
      <c r="AR274" s="426"/>
      <c r="AS274" s="426"/>
      <c r="AT274" s="248"/>
    </row>
    <row r="275" spans="1:46" ht="13.5">
      <c r="A275" s="248"/>
      <c r="B275" s="248"/>
      <c r="C275" s="248"/>
      <c r="D275" s="248"/>
      <c r="E275" s="248"/>
      <c r="F275" s="248"/>
      <c r="G275" s="248"/>
      <c r="H275" s="248"/>
      <c r="I275" s="248"/>
      <c r="J275" s="248"/>
      <c r="K275" s="248"/>
      <c r="L275" s="248"/>
      <c r="AR275" s="426"/>
      <c r="AS275" s="426"/>
      <c r="AT275" s="248"/>
    </row>
    <row r="276" spans="1:46" ht="13.5">
      <c r="A276" s="248"/>
      <c r="B276" s="248"/>
      <c r="C276" s="248"/>
      <c r="D276" s="248"/>
      <c r="E276" s="248"/>
      <c r="F276" s="248"/>
      <c r="G276" s="248"/>
      <c r="H276" s="248"/>
      <c r="I276" s="248"/>
      <c r="J276" s="248"/>
      <c r="K276" s="248"/>
      <c r="L276" s="248"/>
      <c r="AR276" s="426"/>
      <c r="AS276" s="426"/>
      <c r="AT276" s="248"/>
    </row>
    <row r="277" spans="1:46" ht="13.5">
      <c r="A277" s="248"/>
      <c r="B277" s="248"/>
      <c r="C277" s="248"/>
      <c r="D277" s="248"/>
      <c r="E277" s="248"/>
      <c r="F277" s="248"/>
      <c r="G277" s="248"/>
      <c r="H277" s="248"/>
      <c r="I277" s="248"/>
      <c r="J277" s="248"/>
      <c r="K277" s="248"/>
      <c r="L277" s="248"/>
      <c r="AR277" s="426"/>
      <c r="AS277" s="426"/>
      <c r="AT277" s="248"/>
    </row>
    <row r="278" spans="1:46" ht="13.5">
      <c r="A278" s="248"/>
      <c r="B278" s="248"/>
      <c r="C278" s="248"/>
      <c r="D278" s="248"/>
      <c r="E278" s="248"/>
      <c r="F278" s="248"/>
      <c r="G278" s="248"/>
      <c r="H278" s="248"/>
      <c r="I278" s="248"/>
      <c r="J278" s="248"/>
      <c r="K278" s="248"/>
      <c r="L278" s="248"/>
      <c r="AR278" s="426"/>
      <c r="AS278" s="426"/>
      <c r="AT278" s="248"/>
    </row>
    <row r="279" spans="1:46" ht="13.5">
      <c r="A279" s="248"/>
      <c r="B279" s="248"/>
      <c r="C279" s="248"/>
      <c r="D279" s="248"/>
      <c r="E279" s="248"/>
      <c r="F279" s="248"/>
      <c r="G279" s="248"/>
      <c r="H279" s="248"/>
      <c r="I279" s="248"/>
      <c r="J279" s="248"/>
      <c r="K279" s="248"/>
      <c r="L279" s="248"/>
      <c r="AR279" s="426"/>
      <c r="AS279" s="426"/>
      <c r="AT279" s="248"/>
    </row>
    <row r="280" spans="1:46" ht="13.5">
      <c r="A280" s="248"/>
      <c r="B280" s="248"/>
      <c r="C280" s="248"/>
      <c r="D280" s="248"/>
      <c r="E280" s="248"/>
      <c r="F280" s="248"/>
      <c r="G280" s="248"/>
      <c r="H280" s="248"/>
      <c r="I280" s="248"/>
      <c r="J280" s="248"/>
      <c r="K280" s="248"/>
      <c r="L280" s="248"/>
      <c r="AR280" s="426"/>
      <c r="AS280" s="426"/>
      <c r="AT280" s="248"/>
    </row>
    <row r="281" spans="1:46" ht="13.5">
      <c r="A281" s="248"/>
      <c r="B281" s="248"/>
      <c r="C281" s="248"/>
      <c r="D281" s="248"/>
      <c r="E281" s="248"/>
      <c r="F281" s="248"/>
      <c r="G281" s="248"/>
      <c r="H281" s="248"/>
      <c r="I281" s="248"/>
      <c r="J281" s="248"/>
      <c r="K281" s="248"/>
      <c r="L281" s="248"/>
      <c r="AR281" s="426"/>
      <c r="AS281" s="426"/>
      <c r="AT281" s="248"/>
    </row>
    <row r="282" spans="1:46" ht="13.5">
      <c r="A282" s="248"/>
      <c r="B282" s="248"/>
      <c r="C282" s="248"/>
      <c r="D282" s="248"/>
      <c r="E282" s="248"/>
      <c r="F282" s="248"/>
      <c r="G282" s="248"/>
      <c r="H282" s="248"/>
      <c r="I282" s="248"/>
      <c r="J282" s="248"/>
      <c r="K282" s="248"/>
      <c r="L282" s="248"/>
      <c r="AR282" s="426"/>
      <c r="AS282" s="426"/>
      <c r="AT282" s="248"/>
    </row>
    <row r="283" spans="1:46" ht="13.5">
      <c r="A283" s="248"/>
      <c r="B283" s="248"/>
      <c r="C283" s="248"/>
      <c r="D283" s="248"/>
      <c r="E283" s="248"/>
      <c r="F283" s="248"/>
      <c r="G283" s="248"/>
      <c r="H283" s="248"/>
      <c r="I283" s="248"/>
      <c r="J283" s="248"/>
      <c r="K283" s="248"/>
      <c r="L283" s="248"/>
      <c r="AR283" s="426"/>
      <c r="AS283" s="426"/>
      <c r="AT283" s="248"/>
    </row>
    <row r="284" spans="1:46" ht="13.5">
      <c r="A284" s="248"/>
      <c r="B284" s="248"/>
      <c r="C284" s="248"/>
      <c r="D284" s="248"/>
      <c r="E284" s="248"/>
      <c r="F284" s="248"/>
      <c r="G284" s="248"/>
      <c r="H284" s="248"/>
      <c r="I284" s="248"/>
      <c r="J284" s="248"/>
      <c r="K284" s="248"/>
      <c r="L284" s="248"/>
      <c r="AR284" s="426"/>
      <c r="AS284" s="426"/>
      <c r="AT284" s="248"/>
    </row>
    <row r="285" spans="1:46" ht="13.5">
      <c r="A285" s="248"/>
      <c r="B285" s="248"/>
      <c r="C285" s="248"/>
      <c r="D285" s="248"/>
      <c r="E285" s="248"/>
      <c r="F285" s="248"/>
      <c r="G285" s="248"/>
      <c r="H285" s="248"/>
      <c r="I285" s="248"/>
      <c r="J285" s="248"/>
      <c r="K285" s="248"/>
      <c r="L285" s="248"/>
      <c r="AR285" s="426"/>
      <c r="AS285" s="426"/>
      <c r="AT285" s="248"/>
    </row>
    <row r="286" spans="1:46" ht="13.5">
      <c r="A286" s="248"/>
      <c r="B286" s="248"/>
      <c r="C286" s="248"/>
      <c r="D286" s="248"/>
      <c r="E286" s="248"/>
      <c r="F286" s="248"/>
      <c r="G286" s="248"/>
      <c r="H286" s="248"/>
      <c r="I286" s="248"/>
      <c r="J286" s="248"/>
      <c r="K286" s="248"/>
      <c r="L286" s="248"/>
      <c r="AR286" s="426"/>
      <c r="AS286" s="426"/>
      <c r="AT286" s="248"/>
    </row>
    <row r="287" spans="1:46" ht="13.5">
      <c r="A287" s="248"/>
      <c r="B287" s="248"/>
      <c r="C287" s="248"/>
      <c r="D287" s="248"/>
      <c r="E287" s="248"/>
      <c r="F287" s="248"/>
      <c r="G287" s="248"/>
      <c r="H287" s="248"/>
      <c r="I287" s="248"/>
      <c r="J287" s="248"/>
      <c r="K287" s="248"/>
      <c r="L287" s="248"/>
      <c r="AR287" s="426"/>
      <c r="AS287" s="426"/>
      <c r="AT287" s="248"/>
    </row>
    <row r="288" spans="1:46" ht="13.5">
      <c r="A288" s="248"/>
      <c r="B288" s="248"/>
      <c r="C288" s="248"/>
      <c r="D288" s="248"/>
      <c r="E288" s="248"/>
      <c r="F288" s="248"/>
      <c r="G288" s="248"/>
      <c r="H288" s="248"/>
      <c r="I288" s="248"/>
      <c r="J288" s="248"/>
      <c r="K288" s="248"/>
      <c r="L288" s="248"/>
      <c r="AR288" s="426"/>
      <c r="AS288" s="426"/>
      <c r="AT288" s="248"/>
    </row>
    <row r="289" spans="1:46" ht="13.5">
      <c r="A289" s="248"/>
      <c r="B289" s="248"/>
      <c r="C289" s="248"/>
      <c r="D289" s="248"/>
      <c r="E289" s="248"/>
      <c r="F289" s="248"/>
      <c r="G289" s="248"/>
      <c r="H289" s="248"/>
      <c r="I289" s="248"/>
      <c r="J289" s="248"/>
      <c r="K289" s="248"/>
      <c r="L289" s="248"/>
      <c r="AR289" s="426"/>
      <c r="AS289" s="426"/>
      <c r="AT289" s="248"/>
    </row>
    <row r="290" spans="1:46" ht="13.5">
      <c r="A290" s="248"/>
      <c r="B290" s="248"/>
      <c r="C290" s="248"/>
      <c r="D290" s="248"/>
      <c r="E290" s="248"/>
      <c r="F290" s="248"/>
      <c r="G290" s="248"/>
      <c r="H290" s="248"/>
      <c r="I290" s="248"/>
      <c r="J290" s="248"/>
      <c r="K290" s="248"/>
      <c r="L290" s="248"/>
      <c r="AR290" s="426"/>
      <c r="AS290" s="426"/>
      <c r="AT290" s="248"/>
    </row>
    <row r="291" spans="1:46" ht="13.5">
      <c r="A291" s="248"/>
      <c r="B291" s="248"/>
      <c r="C291" s="248"/>
      <c r="D291" s="248"/>
      <c r="E291" s="248"/>
      <c r="F291" s="248"/>
      <c r="G291" s="248"/>
      <c r="H291" s="248"/>
      <c r="I291" s="248"/>
      <c r="J291" s="248"/>
      <c r="K291" s="248"/>
      <c r="L291" s="248"/>
      <c r="AR291" s="426"/>
      <c r="AS291" s="426"/>
      <c r="AT291" s="248"/>
    </row>
    <row r="292" spans="1:46" ht="13.5">
      <c r="A292" s="248"/>
      <c r="B292" s="248"/>
      <c r="C292" s="248"/>
      <c r="D292" s="248"/>
      <c r="E292" s="248"/>
      <c r="F292" s="248"/>
      <c r="G292" s="248"/>
      <c r="H292" s="248"/>
      <c r="I292" s="248"/>
      <c r="J292" s="248"/>
      <c r="K292" s="248"/>
      <c r="L292" s="248"/>
      <c r="AR292" s="426"/>
      <c r="AS292" s="426"/>
      <c r="AT292" s="248"/>
    </row>
    <row r="293" spans="1:46" ht="13.5">
      <c r="A293" s="248"/>
      <c r="B293" s="248"/>
      <c r="C293" s="248"/>
      <c r="D293" s="248"/>
      <c r="E293" s="248"/>
      <c r="F293" s="248"/>
      <c r="G293" s="248"/>
      <c r="H293" s="248"/>
      <c r="I293" s="248"/>
      <c r="J293" s="248"/>
      <c r="K293" s="248"/>
      <c r="L293" s="248"/>
      <c r="AR293" s="426"/>
      <c r="AS293" s="426"/>
      <c r="AT293" s="248"/>
    </row>
    <row r="294" spans="1:46" ht="13.5">
      <c r="A294" s="248"/>
      <c r="B294" s="248"/>
      <c r="C294" s="248"/>
      <c r="D294" s="248"/>
      <c r="E294" s="248"/>
      <c r="F294" s="248"/>
      <c r="G294" s="248"/>
      <c r="H294" s="248"/>
      <c r="I294" s="248"/>
      <c r="J294" s="248"/>
      <c r="K294" s="248"/>
      <c r="L294" s="248"/>
      <c r="AR294" s="426"/>
      <c r="AS294" s="426"/>
      <c r="AT294" s="248"/>
    </row>
    <row r="295" spans="1:46" ht="13.5">
      <c r="A295" s="248"/>
      <c r="B295" s="248"/>
      <c r="C295" s="248"/>
      <c r="D295" s="248"/>
      <c r="E295" s="248"/>
      <c r="F295" s="248"/>
      <c r="G295" s="248"/>
      <c r="H295" s="248"/>
      <c r="I295" s="248"/>
      <c r="J295" s="248"/>
      <c r="K295" s="248"/>
      <c r="L295" s="248"/>
      <c r="AR295" s="426"/>
      <c r="AS295" s="426"/>
      <c r="AT295" s="248"/>
    </row>
    <row r="296" spans="1:46" ht="13.5">
      <c r="A296" s="248"/>
      <c r="B296" s="248"/>
      <c r="C296" s="248"/>
      <c r="D296" s="248"/>
      <c r="E296" s="248"/>
      <c r="F296" s="248"/>
      <c r="G296" s="248"/>
      <c r="H296" s="248"/>
      <c r="I296" s="248"/>
      <c r="J296" s="248"/>
      <c r="K296" s="248"/>
      <c r="L296" s="248"/>
      <c r="AR296" s="426"/>
      <c r="AS296" s="426"/>
      <c r="AT296" s="248"/>
    </row>
    <row r="297" spans="1:46" ht="13.5">
      <c r="A297" s="248"/>
      <c r="B297" s="248"/>
      <c r="C297" s="248"/>
      <c r="D297" s="248"/>
      <c r="E297" s="248"/>
      <c r="F297" s="248"/>
      <c r="G297" s="248"/>
      <c r="H297" s="248"/>
      <c r="I297" s="248"/>
      <c r="J297" s="248"/>
      <c r="K297" s="248"/>
      <c r="L297" s="248"/>
      <c r="AR297" s="426"/>
      <c r="AS297" s="426"/>
      <c r="AT297" s="248"/>
    </row>
    <row r="298" spans="1:46" ht="13.5">
      <c r="A298" s="248"/>
      <c r="B298" s="248"/>
      <c r="C298" s="248"/>
      <c r="D298" s="248"/>
      <c r="E298" s="248"/>
      <c r="F298" s="248"/>
      <c r="G298" s="248"/>
      <c r="H298" s="248"/>
      <c r="I298" s="248"/>
      <c r="J298" s="248"/>
      <c r="K298" s="248"/>
      <c r="L298" s="248"/>
      <c r="AR298" s="426"/>
      <c r="AS298" s="426"/>
      <c r="AT298" s="248"/>
    </row>
    <row r="299" spans="1:46" ht="13.5">
      <c r="A299" s="248"/>
      <c r="B299" s="248"/>
      <c r="C299" s="248"/>
      <c r="D299" s="248"/>
      <c r="E299" s="248"/>
      <c r="F299" s="248"/>
      <c r="G299" s="248"/>
      <c r="H299" s="248"/>
      <c r="I299" s="248"/>
      <c r="J299" s="248"/>
      <c r="K299" s="248"/>
      <c r="L299" s="248"/>
      <c r="AR299" s="426"/>
      <c r="AS299" s="426"/>
      <c r="AT299" s="248"/>
    </row>
    <row r="300" spans="1:46" ht="13.5">
      <c r="A300" s="248"/>
      <c r="B300" s="248"/>
      <c r="C300" s="248"/>
      <c r="D300" s="248"/>
      <c r="E300" s="248"/>
      <c r="F300" s="248"/>
      <c r="G300" s="248"/>
      <c r="H300" s="248"/>
      <c r="I300" s="248"/>
      <c r="J300" s="248"/>
      <c r="K300" s="248"/>
      <c r="L300" s="248"/>
      <c r="AR300" s="426"/>
      <c r="AS300" s="426"/>
      <c r="AT300" s="248"/>
    </row>
    <row r="301" spans="1:46" ht="13.5">
      <c r="A301" s="248"/>
      <c r="B301" s="248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AR301" s="426"/>
      <c r="AS301" s="426"/>
      <c r="AT301" s="248"/>
    </row>
    <row r="302" spans="1:46" ht="13.5">
      <c r="A302" s="248"/>
      <c r="B302" s="248"/>
      <c r="C302" s="248"/>
      <c r="D302" s="248"/>
      <c r="E302" s="248"/>
      <c r="F302" s="248"/>
      <c r="G302" s="248"/>
      <c r="H302" s="248"/>
      <c r="I302" s="248"/>
      <c r="J302" s="248"/>
      <c r="K302" s="248"/>
      <c r="L302" s="248"/>
      <c r="AR302" s="426"/>
      <c r="AS302" s="426"/>
      <c r="AT302" s="248"/>
    </row>
    <row r="303" spans="1:46" ht="13.5">
      <c r="A303" s="248"/>
      <c r="B303" s="248"/>
      <c r="C303" s="248"/>
      <c r="D303" s="248"/>
      <c r="E303" s="248"/>
      <c r="F303" s="248"/>
      <c r="G303" s="248"/>
      <c r="H303" s="248"/>
      <c r="I303" s="248"/>
      <c r="J303" s="248"/>
      <c r="K303" s="248"/>
      <c r="L303" s="248"/>
      <c r="AR303" s="426"/>
      <c r="AS303" s="426"/>
      <c r="AT303" s="248"/>
    </row>
    <row r="304" spans="1:46" ht="13.5">
      <c r="A304" s="248"/>
      <c r="B304" s="248"/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AR304" s="426"/>
      <c r="AS304" s="426"/>
      <c r="AT304" s="248"/>
    </row>
    <row r="305" spans="1:46" ht="13.5">
      <c r="A305" s="248"/>
      <c r="B305" s="248"/>
      <c r="C305" s="248"/>
      <c r="D305" s="248"/>
      <c r="E305" s="248"/>
      <c r="F305" s="248"/>
      <c r="G305" s="248"/>
      <c r="H305" s="248"/>
      <c r="I305" s="248"/>
      <c r="J305" s="248"/>
      <c r="K305" s="248"/>
      <c r="L305" s="248"/>
      <c r="AR305" s="426"/>
      <c r="AS305" s="426"/>
      <c r="AT305" s="248"/>
    </row>
    <row r="306" spans="1:46" ht="13.5">
      <c r="A306" s="248"/>
      <c r="B306" s="248"/>
      <c r="C306" s="248"/>
      <c r="D306" s="248"/>
      <c r="E306" s="248"/>
      <c r="F306" s="248"/>
      <c r="G306" s="248"/>
      <c r="H306" s="248"/>
      <c r="I306" s="248"/>
      <c r="J306" s="248"/>
      <c r="K306" s="248"/>
      <c r="L306" s="248"/>
      <c r="AR306" s="426"/>
      <c r="AS306" s="426"/>
      <c r="AT306" s="248"/>
    </row>
    <row r="307" spans="1:46" ht="13.5">
      <c r="A307" s="248"/>
      <c r="B307" s="248"/>
      <c r="C307" s="248"/>
      <c r="D307" s="248"/>
      <c r="E307" s="248"/>
      <c r="F307" s="248"/>
      <c r="G307" s="248"/>
      <c r="H307" s="248"/>
      <c r="I307" s="248"/>
      <c r="J307" s="248"/>
      <c r="K307" s="248"/>
      <c r="L307" s="248"/>
      <c r="AR307" s="426"/>
      <c r="AS307" s="426"/>
      <c r="AT307" s="248"/>
    </row>
    <row r="308" spans="1:46" ht="13.5">
      <c r="A308" s="248"/>
      <c r="B308" s="248"/>
      <c r="C308" s="248"/>
      <c r="D308" s="248"/>
      <c r="E308" s="248"/>
      <c r="F308" s="248"/>
      <c r="G308" s="248"/>
      <c r="H308" s="248"/>
      <c r="I308" s="248"/>
      <c r="J308" s="248"/>
      <c r="K308" s="248"/>
      <c r="L308" s="248"/>
      <c r="AR308" s="426"/>
      <c r="AS308" s="426"/>
      <c r="AT308" s="248"/>
    </row>
    <row r="309" spans="1:46" ht="13.5">
      <c r="A309" s="248"/>
      <c r="B309" s="248"/>
      <c r="C309" s="248"/>
      <c r="D309" s="248"/>
      <c r="E309" s="248"/>
      <c r="F309" s="248"/>
      <c r="G309" s="248"/>
      <c r="H309" s="248"/>
      <c r="I309" s="248"/>
      <c r="J309" s="248"/>
      <c r="K309" s="248"/>
      <c r="L309" s="248"/>
      <c r="AR309" s="426"/>
      <c r="AS309" s="426"/>
      <c r="AT309" s="248"/>
    </row>
    <row r="310" spans="1:46" ht="13.5">
      <c r="A310" s="248"/>
      <c r="B310" s="248"/>
      <c r="C310" s="248"/>
      <c r="D310" s="248"/>
      <c r="E310" s="248"/>
      <c r="F310" s="248"/>
      <c r="G310" s="248"/>
      <c r="H310" s="248"/>
      <c r="I310" s="248"/>
      <c r="J310" s="248"/>
      <c r="K310" s="248"/>
      <c r="L310" s="248"/>
      <c r="AR310" s="426"/>
      <c r="AS310" s="426"/>
      <c r="AT310" s="248"/>
    </row>
    <row r="311" spans="1:46" ht="13.5">
      <c r="A311" s="248"/>
      <c r="B311" s="248"/>
      <c r="C311" s="248"/>
      <c r="D311" s="248"/>
      <c r="E311" s="248"/>
      <c r="F311" s="248"/>
      <c r="G311" s="248"/>
      <c r="H311" s="248"/>
      <c r="I311" s="248"/>
      <c r="J311" s="248"/>
      <c r="K311" s="248"/>
      <c r="L311" s="248"/>
      <c r="AR311" s="426"/>
      <c r="AS311" s="426"/>
      <c r="AT311" s="248"/>
    </row>
    <row r="312" spans="1:46" ht="13.5">
      <c r="A312" s="248"/>
      <c r="B312" s="248"/>
      <c r="C312" s="248"/>
      <c r="D312" s="248"/>
      <c r="E312" s="248"/>
      <c r="F312" s="248"/>
      <c r="G312" s="248"/>
      <c r="H312" s="248"/>
      <c r="I312" s="248"/>
      <c r="J312" s="248"/>
      <c r="K312" s="248"/>
      <c r="L312" s="248"/>
      <c r="AR312" s="426"/>
      <c r="AS312" s="426"/>
      <c r="AT312" s="248"/>
    </row>
    <row r="313" spans="1:46" ht="13.5">
      <c r="A313" s="248"/>
      <c r="B313" s="248"/>
      <c r="C313" s="248"/>
      <c r="D313" s="248"/>
      <c r="E313" s="248"/>
      <c r="F313" s="248"/>
      <c r="G313" s="248"/>
      <c r="H313" s="248"/>
      <c r="I313" s="248"/>
      <c r="J313" s="248"/>
      <c r="K313" s="248"/>
      <c r="L313" s="248"/>
      <c r="AR313" s="426"/>
      <c r="AS313" s="426"/>
      <c r="AT313" s="248"/>
    </row>
    <row r="314" spans="1:46" ht="13.5">
      <c r="A314" s="248"/>
      <c r="B314" s="248"/>
      <c r="C314" s="248"/>
      <c r="D314" s="248"/>
      <c r="E314" s="248"/>
      <c r="F314" s="248"/>
      <c r="G314" s="248"/>
      <c r="H314" s="248"/>
      <c r="I314" s="248"/>
      <c r="J314" s="248"/>
      <c r="K314" s="248"/>
      <c r="L314" s="248"/>
      <c r="AR314" s="426"/>
      <c r="AS314" s="426"/>
      <c r="AT314" s="248"/>
    </row>
    <row r="315" spans="1:46" ht="13.5">
      <c r="A315" s="248"/>
      <c r="B315" s="248"/>
      <c r="C315" s="248"/>
      <c r="D315" s="248"/>
      <c r="E315" s="248"/>
      <c r="F315" s="248"/>
      <c r="G315" s="248"/>
      <c r="H315" s="248"/>
      <c r="I315" s="248"/>
      <c r="J315" s="248"/>
      <c r="K315" s="248"/>
      <c r="L315" s="248"/>
      <c r="AR315" s="426"/>
      <c r="AS315" s="426"/>
      <c r="AT315" s="248"/>
    </row>
    <row r="316" spans="1:46" ht="13.5">
      <c r="A316" s="248"/>
      <c r="B316" s="248"/>
      <c r="C316" s="248"/>
      <c r="D316" s="248"/>
      <c r="E316" s="248"/>
      <c r="F316" s="248"/>
      <c r="G316" s="248"/>
      <c r="H316" s="248"/>
      <c r="I316" s="248"/>
      <c r="J316" s="248"/>
      <c r="K316" s="248"/>
      <c r="L316" s="248"/>
      <c r="AR316" s="426"/>
      <c r="AS316" s="426"/>
      <c r="AT316" s="248"/>
    </row>
    <row r="317" spans="1:46" ht="13.5">
      <c r="A317" s="248"/>
      <c r="B317" s="248"/>
      <c r="C317" s="248"/>
      <c r="D317" s="248"/>
      <c r="E317" s="248"/>
      <c r="F317" s="248"/>
      <c r="G317" s="248"/>
      <c r="H317" s="248"/>
      <c r="I317" s="248"/>
      <c r="J317" s="248"/>
      <c r="K317" s="248"/>
      <c r="L317" s="248"/>
      <c r="AR317" s="426"/>
      <c r="AS317" s="426"/>
      <c r="AT317" s="248"/>
    </row>
    <row r="318" spans="1:46" ht="13.5">
      <c r="A318" s="248"/>
      <c r="B318" s="248"/>
      <c r="C318" s="248"/>
      <c r="D318" s="248"/>
      <c r="E318" s="248"/>
      <c r="F318" s="248"/>
      <c r="G318" s="248"/>
      <c r="H318" s="248"/>
      <c r="I318" s="248"/>
      <c r="J318" s="248"/>
      <c r="K318" s="248"/>
      <c r="L318" s="248"/>
      <c r="AR318" s="426"/>
      <c r="AS318" s="426"/>
      <c r="AT318" s="248"/>
    </row>
    <row r="319" spans="1:46" ht="13.5">
      <c r="A319" s="248"/>
      <c r="B319" s="248"/>
      <c r="C319" s="248"/>
      <c r="D319" s="248"/>
      <c r="E319" s="248"/>
      <c r="F319" s="248"/>
      <c r="G319" s="248"/>
      <c r="H319" s="248"/>
      <c r="I319" s="248"/>
      <c r="J319" s="248"/>
      <c r="K319" s="248"/>
      <c r="L319" s="248"/>
      <c r="AR319" s="426"/>
      <c r="AS319" s="426"/>
      <c r="AT319" s="248"/>
    </row>
    <row r="320" spans="1:46" ht="13.5">
      <c r="A320" s="248"/>
      <c r="B320" s="248"/>
      <c r="C320" s="248"/>
      <c r="D320" s="248"/>
      <c r="E320" s="248"/>
      <c r="F320" s="248"/>
      <c r="G320" s="248"/>
      <c r="H320" s="248"/>
      <c r="I320" s="248"/>
      <c r="J320" s="248"/>
      <c r="K320" s="248"/>
      <c r="L320" s="248"/>
      <c r="AR320" s="426"/>
      <c r="AS320" s="426"/>
      <c r="AT320" s="248"/>
    </row>
    <row r="321" spans="1:46" ht="13.5">
      <c r="A321" s="248"/>
      <c r="B321" s="248"/>
      <c r="C321" s="248"/>
      <c r="D321" s="248"/>
      <c r="E321" s="248"/>
      <c r="F321" s="248"/>
      <c r="G321" s="248"/>
      <c r="H321" s="248"/>
      <c r="I321" s="248"/>
      <c r="J321" s="248"/>
      <c r="K321" s="248"/>
      <c r="L321" s="248"/>
      <c r="AR321" s="426"/>
      <c r="AS321" s="426"/>
      <c r="AT321" s="248"/>
    </row>
    <row r="322" spans="1:46" ht="13.5">
      <c r="A322" s="248"/>
      <c r="B322" s="248"/>
      <c r="C322" s="248"/>
      <c r="D322" s="248"/>
      <c r="E322" s="248"/>
      <c r="F322" s="248"/>
      <c r="G322" s="248"/>
      <c r="H322" s="248"/>
      <c r="I322" s="248"/>
      <c r="J322" s="248"/>
      <c r="K322" s="248"/>
      <c r="L322" s="248"/>
      <c r="AR322" s="426"/>
      <c r="AS322" s="426"/>
      <c r="AT322" s="248"/>
    </row>
    <row r="323" spans="1:46" ht="13.5">
      <c r="A323" s="248"/>
      <c r="B323" s="248"/>
      <c r="C323" s="248"/>
      <c r="D323" s="248"/>
      <c r="E323" s="248"/>
      <c r="F323" s="248"/>
      <c r="G323" s="248"/>
      <c r="H323" s="248"/>
      <c r="I323" s="248"/>
      <c r="J323" s="248"/>
      <c r="K323" s="248"/>
      <c r="L323" s="248"/>
      <c r="AR323" s="426"/>
      <c r="AS323" s="426"/>
      <c r="AT323" s="248"/>
    </row>
    <row r="324" spans="1:46" ht="13.5">
      <c r="A324" s="248"/>
      <c r="B324" s="248"/>
      <c r="C324" s="248"/>
      <c r="D324" s="248"/>
      <c r="E324" s="248"/>
      <c r="F324" s="248"/>
      <c r="G324" s="248"/>
      <c r="H324" s="248"/>
      <c r="I324" s="248"/>
      <c r="J324" s="248"/>
      <c r="K324" s="248"/>
      <c r="L324" s="248"/>
      <c r="AR324" s="426"/>
      <c r="AS324" s="426"/>
      <c r="AT324" s="248"/>
    </row>
    <row r="325" spans="1:46" ht="13.5">
      <c r="A325" s="248"/>
      <c r="B325" s="248"/>
      <c r="C325" s="248"/>
      <c r="D325" s="248"/>
      <c r="E325" s="248"/>
      <c r="F325" s="248"/>
      <c r="G325" s="248"/>
      <c r="H325" s="248"/>
      <c r="I325" s="248"/>
      <c r="J325" s="248"/>
      <c r="K325" s="248"/>
      <c r="L325" s="248"/>
      <c r="AR325" s="426"/>
      <c r="AS325" s="426"/>
      <c r="AT325" s="248"/>
    </row>
    <row r="326" spans="1:46" ht="13.5">
      <c r="A326" s="248"/>
      <c r="B326" s="248"/>
      <c r="C326" s="248"/>
      <c r="D326" s="248"/>
      <c r="E326" s="248"/>
      <c r="F326" s="248"/>
      <c r="G326" s="248"/>
      <c r="H326" s="248"/>
      <c r="I326" s="248"/>
      <c r="J326" s="248"/>
      <c r="K326" s="248"/>
      <c r="L326" s="248"/>
      <c r="AR326" s="426"/>
      <c r="AS326" s="426"/>
      <c r="AT326" s="248"/>
    </row>
    <row r="327" spans="1:46" ht="13.5">
      <c r="A327" s="248"/>
      <c r="B327" s="248"/>
      <c r="C327" s="248"/>
      <c r="D327" s="248"/>
      <c r="E327" s="248"/>
      <c r="F327" s="248"/>
      <c r="G327" s="248"/>
      <c r="H327" s="248"/>
      <c r="I327" s="248"/>
      <c r="J327" s="248"/>
      <c r="K327" s="248"/>
      <c r="L327" s="248"/>
      <c r="AR327" s="426"/>
      <c r="AS327" s="426"/>
      <c r="AT327" s="248"/>
    </row>
    <row r="328" spans="1:46" ht="13.5">
      <c r="A328" s="248"/>
      <c r="B328" s="248"/>
      <c r="C328" s="248"/>
      <c r="D328" s="248"/>
      <c r="E328" s="248"/>
      <c r="F328" s="248"/>
      <c r="G328" s="248"/>
      <c r="H328" s="248"/>
      <c r="I328" s="248"/>
      <c r="J328" s="248"/>
      <c r="K328" s="248"/>
      <c r="L328" s="248"/>
      <c r="AR328" s="426"/>
      <c r="AS328" s="426"/>
      <c r="AT328" s="248"/>
    </row>
    <row r="329" spans="1:46" ht="13.5">
      <c r="A329" s="248"/>
      <c r="B329" s="248"/>
      <c r="C329" s="248"/>
      <c r="D329" s="248"/>
      <c r="E329" s="248"/>
      <c r="F329" s="248"/>
      <c r="G329" s="248"/>
      <c r="H329" s="248"/>
      <c r="I329" s="248"/>
      <c r="J329" s="248"/>
      <c r="K329" s="248"/>
      <c r="L329" s="248"/>
      <c r="AR329" s="426"/>
      <c r="AS329" s="426"/>
      <c r="AT329" s="248"/>
    </row>
    <row r="330" spans="1:46" ht="13.5">
      <c r="A330" s="248"/>
      <c r="B330" s="248"/>
      <c r="C330" s="248"/>
      <c r="D330" s="248"/>
      <c r="E330" s="248"/>
      <c r="F330" s="248"/>
      <c r="G330" s="248"/>
      <c r="H330" s="248"/>
      <c r="I330" s="248"/>
      <c r="J330" s="248"/>
      <c r="K330" s="248"/>
      <c r="L330" s="248"/>
      <c r="AR330" s="426"/>
      <c r="AS330" s="426"/>
      <c r="AT330" s="248"/>
    </row>
    <row r="331" spans="1:46" ht="13.5">
      <c r="A331" s="248"/>
      <c r="B331" s="248"/>
      <c r="C331" s="248"/>
      <c r="D331" s="248"/>
      <c r="E331" s="248"/>
      <c r="F331" s="248"/>
      <c r="G331" s="248"/>
      <c r="H331" s="248"/>
      <c r="I331" s="248"/>
      <c r="J331" s="248"/>
      <c r="K331" s="248"/>
      <c r="L331" s="248"/>
      <c r="AR331" s="426"/>
      <c r="AS331" s="426"/>
      <c r="AT331" s="248"/>
    </row>
    <row r="332" spans="1:46" ht="13.5">
      <c r="A332" s="248"/>
      <c r="B332" s="248"/>
      <c r="C332" s="248"/>
      <c r="D332" s="248"/>
      <c r="E332" s="248"/>
      <c r="F332" s="248"/>
      <c r="G332" s="248"/>
      <c r="H332" s="248"/>
      <c r="I332" s="248"/>
      <c r="J332" s="248"/>
      <c r="K332" s="248"/>
      <c r="L332" s="248"/>
      <c r="AR332" s="426"/>
      <c r="AS332" s="426"/>
      <c r="AT332" s="248"/>
    </row>
    <row r="333" spans="1:46" ht="13.5">
      <c r="A333" s="248"/>
      <c r="B333" s="248"/>
      <c r="C333" s="248"/>
      <c r="D333" s="248"/>
      <c r="E333" s="248"/>
      <c r="F333" s="248"/>
      <c r="G333" s="248"/>
      <c r="H333" s="248"/>
      <c r="I333" s="248"/>
      <c r="J333" s="248"/>
      <c r="K333" s="248"/>
      <c r="L333" s="248"/>
      <c r="AR333" s="426"/>
      <c r="AS333" s="426"/>
      <c r="AT333" s="248"/>
    </row>
    <row r="334" spans="1:46" ht="13.5">
      <c r="A334" s="248"/>
      <c r="B334" s="248"/>
      <c r="C334" s="248"/>
      <c r="D334" s="248"/>
      <c r="E334" s="248"/>
      <c r="F334" s="248"/>
      <c r="G334" s="248"/>
      <c r="H334" s="248"/>
      <c r="I334" s="248"/>
      <c r="J334" s="248"/>
      <c r="K334" s="248"/>
      <c r="L334" s="248"/>
      <c r="AR334" s="426"/>
      <c r="AS334" s="426"/>
      <c r="AT334" s="248"/>
    </row>
    <row r="335" spans="1:46" ht="13.5">
      <c r="A335" s="248"/>
      <c r="B335" s="248"/>
      <c r="C335" s="248"/>
      <c r="D335" s="248"/>
      <c r="E335" s="248"/>
      <c r="F335" s="248"/>
      <c r="G335" s="248"/>
      <c r="H335" s="248"/>
      <c r="I335" s="248"/>
      <c r="J335" s="248"/>
      <c r="K335" s="248"/>
      <c r="L335" s="248"/>
      <c r="AR335" s="426"/>
      <c r="AS335" s="426"/>
      <c r="AT335" s="248"/>
    </row>
    <row r="336" spans="1:46" ht="13.5">
      <c r="A336" s="248"/>
      <c r="B336" s="248"/>
      <c r="C336" s="248"/>
      <c r="D336" s="248"/>
      <c r="E336" s="248"/>
      <c r="F336" s="248"/>
      <c r="G336" s="248"/>
      <c r="H336" s="248"/>
      <c r="I336" s="248"/>
      <c r="J336" s="248"/>
      <c r="K336" s="248"/>
      <c r="L336" s="248"/>
      <c r="AR336" s="426"/>
      <c r="AS336" s="426"/>
      <c r="AT336" s="248"/>
    </row>
    <row r="337" spans="1:46" ht="13.5">
      <c r="A337" s="248"/>
      <c r="B337" s="248"/>
      <c r="C337" s="248"/>
      <c r="D337" s="248"/>
      <c r="E337" s="248"/>
      <c r="F337" s="248"/>
      <c r="G337" s="248"/>
      <c r="H337" s="248"/>
      <c r="I337" s="248"/>
      <c r="J337" s="248"/>
      <c r="K337" s="248"/>
      <c r="L337" s="248"/>
      <c r="AR337" s="426"/>
      <c r="AS337" s="426"/>
      <c r="AT337" s="248"/>
    </row>
    <row r="338" spans="1:46" ht="13.5">
      <c r="A338" s="248"/>
      <c r="B338" s="248"/>
      <c r="C338" s="248"/>
      <c r="D338" s="248"/>
      <c r="E338" s="248"/>
      <c r="F338" s="248"/>
      <c r="G338" s="248"/>
      <c r="H338" s="248"/>
      <c r="I338" s="248"/>
      <c r="J338" s="248"/>
      <c r="K338" s="248"/>
      <c r="L338" s="248"/>
      <c r="AR338" s="426"/>
      <c r="AS338" s="426"/>
      <c r="AT338" s="248"/>
    </row>
    <row r="339" spans="1:46" ht="13.5">
      <c r="A339" s="248"/>
      <c r="B339" s="248"/>
      <c r="C339" s="248"/>
      <c r="D339" s="248"/>
      <c r="E339" s="248"/>
      <c r="F339" s="248"/>
      <c r="G339" s="248"/>
      <c r="H339" s="248"/>
      <c r="I339" s="248"/>
      <c r="J339" s="248"/>
      <c r="K339" s="248"/>
      <c r="L339" s="248"/>
      <c r="AR339" s="426"/>
      <c r="AS339" s="426"/>
      <c r="AT339" s="248"/>
    </row>
    <row r="340" spans="1:46" ht="13.5">
      <c r="A340" s="248"/>
      <c r="B340" s="248"/>
      <c r="C340" s="248"/>
      <c r="D340" s="248"/>
      <c r="E340" s="248"/>
      <c r="F340" s="248"/>
      <c r="G340" s="248"/>
      <c r="H340" s="248"/>
      <c r="I340" s="248"/>
      <c r="J340" s="248"/>
      <c r="K340" s="248"/>
      <c r="L340" s="248"/>
      <c r="AR340" s="426"/>
      <c r="AS340" s="426"/>
      <c r="AT340" s="248"/>
    </row>
    <row r="341" spans="1:46" ht="13.5">
      <c r="A341" s="248"/>
      <c r="B341" s="248"/>
      <c r="C341" s="248"/>
      <c r="D341" s="248"/>
      <c r="E341" s="248"/>
      <c r="F341" s="248"/>
      <c r="G341" s="248"/>
      <c r="H341" s="248"/>
      <c r="I341" s="248"/>
      <c r="J341" s="248"/>
      <c r="K341" s="248"/>
      <c r="L341" s="248"/>
      <c r="AR341" s="426"/>
      <c r="AS341" s="426"/>
      <c r="AT341" s="248"/>
    </row>
    <row r="342" spans="1:46" ht="13.5">
      <c r="A342" s="248"/>
      <c r="B342" s="248"/>
      <c r="C342" s="248"/>
      <c r="D342" s="248"/>
      <c r="E342" s="248"/>
      <c r="F342" s="248"/>
      <c r="G342" s="248"/>
      <c r="H342" s="248"/>
      <c r="I342" s="248"/>
      <c r="J342" s="248"/>
      <c r="K342" s="248"/>
      <c r="L342" s="248"/>
      <c r="AR342" s="426"/>
      <c r="AS342" s="426"/>
      <c r="AT342" s="248"/>
    </row>
    <row r="343" spans="1:46" ht="13.5">
      <c r="A343" s="248"/>
      <c r="B343" s="248"/>
      <c r="C343" s="248"/>
      <c r="D343" s="248"/>
      <c r="E343" s="248"/>
      <c r="F343" s="248"/>
      <c r="G343" s="248"/>
      <c r="H343" s="248"/>
      <c r="I343" s="248"/>
      <c r="J343" s="248"/>
      <c r="K343" s="248"/>
      <c r="L343" s="248"/>
      <c r="AR343" s="426"/>
      <c r="AS343" s="426"/>
      <c r="AT343" s="248"/>
    </row>
    <row r="344" spans="1:46" ht="13.5">
      <c r="A344" s="248"/>
      <c r="B344" s="248"/>
      <c r="C344" s="248"/>
      <c r="D344" s="248"/>
      <c r="E344" s="248"/>
      <c r="F344" s="248"/>
      <c r="G344" s="248"/>
      <c r="H344" s="248"/>
      <c r="I344" s="248"/>
      <c r="J344" s="248"/>
      <c r="K344" s="248"/>
      <c r="L344" s="248"/>
      <c r="AR344" s="426"/>
      <c r="AS344" s="426"/>
      <c r="AT344" s="248"/>
    </row>
    <row r="345" spans="1:46" ht="13.5">
      <c r="A345" s="248"/>
      <c r="B345" s="248"/>
      <c r="C345" s="248"/>
      <c r="D345" s="248"/>
      <c r="E345" s="248"/>
      <c r="F345" s="248"/>
      <c r="G345" s="248"/>
      <c r="H345" s="248"/>
      <c r="I345" s="248"/>
      <c r="J345" s="248"/>
      <c r="K345" s="248"/>
      <c r="L345" s="248"/>
      <c r="AR345" s="426"/>
      <c r="AS345" s="426"/>
      <c r="AT345" s="248"/>
    </row>
    <row r="346" spans="1:46" ht="13.5">
      <c r="A346" s="248"/>
      <c r="B346" s="248"/>
      <c r="C346" s="248"/>
      <c r="D346" s="248"/>
      <c r="E346" s="248"/>
      <c r="F346" s="248"/>
      <c r="G346" s="248"/>
      <c r="H346" s="248"/>
      <c r="I346" s="248"/>
      <c r="J346" s="248"/>
      <c r="K346" s="248"/>
      <c r="L346" s="248"/>
      <c r="AR346" s="426"/>
      <c r="AS346" s="426"/>
      <c r="AT346" s="248"/>
    </row>
    <row r="347" spans="1:46" ht="13.5">
      <c r="A347" s="248"/>
      <c r="B347" s="248"/>
      <c r="C347" s="248"/>
      <c r="D347" s="248"/>
      <c r="E347" s="248"/>
      <c r="F347" s="248"/>
      <c r="G347" s="248"/>
      <c r="H347" s="248"/>
      <c r="I347" s="248"/>
      <c r="J347" s="248"/>
      <c r="K347" s="248"/>
      <c r="L347" s="248"/>
      <c r="AR347" s="426"/>
      <c r="AS347" s="426"/>
      <c r="AT347" s="248"/>
    </row>
    <row r="348" spans="1:46" ht="13.5">
      <c r="A348" s="248"/>
      <c r="B348" s="248"/>
      <c r="C348" s="248"/>
      <c r="D348" s="248"/>
      <c r="E348" s="248"/>
      <c r="F348" s="248"/>
      <c r="G348" s="248"/>
      <c r="H348" s="248"/>
      <c r="I348" s="248"/>
      <c r="J348" s="248"/>
      <c r="K348" s="248"/>
      <c r="L348" s="248"/>
      <c r="AR348" s="426"/>
      <c r="AS348" s="426"/>
      <c r="AT348" s="248"/>
    </row>
    <row r="349" spans="1:46" ht="13.5">
      <c r="A349" s="248"/>
      <c r="B349" s="248"/>
      <c r="C349" s="248"/>
      <c r="D349" s="248"/>
      <c r="E349" s="248"/>
      <c r="F349" s="248"/>
      <c r="G349" s="248"/>
      <c r="H349" s="248"/>
      <c r="I349" s="248"/>
      <c r="J349" s="248"/>
      <c r="K349" s="248"/>
      <c r="L349" s="248"/>
      <c r="AR349" s="426"/>
      <c r="AS349" s="426"/>
      <c r="AT349" s="248"/>
    </row>
    <row r="350" spans="1:46" ht="13.5">
      <c r="A350" s="248"/>
      <c r="B350" s="248"/>
      <c r="C350" s="248"/>
      <c r="D350" s="248"/>
      <c r="E350" s="248"/>
      <c r="F350" s="248"/>
      <c r="G350" s="248"/>
      <c r="H350" s="248"/>
      <c r="I350" s="248"/>
      <c r="J350" s="248"/>
      <c r="K350" s="248"/>
      <c r="L350" s="248"/>
      <c r="AR350" s="426"/>
      <c r="AS350" s="426"/>
      <c r="AT350" s="248"/>
    </row>
    <row r="351" spans="1:46" ht="13.5">
      <c r="A351" s="248"/>
      <c r="B351" s="248"/>
      <c r="C351" s="248"/>
      <c r="D351" s="248"/>
      <c r="E351" s="248"/>
      <c r="F351" s="248"/>
      <c r="G351" s="248"/>
      <c r="H351" s="248"/>
      <c r="I351" s="248"/>
      <c r="J351" s="248"/>
      <c r="K351" s="248"/>
      <c r="L351" s="248"/>
      <c r="AR351" s="426"/>
      <c r="AS351" s="426"/>
      <c r="AT351" s="248"/>
    </row>
    <row r="352" spans="1:46" ht="13.5">
      <c r="A352" s="248"/>
      <c r="B352" s="248"/>
      <c r="C352" s="248"/>
      <c r="D352" s="248"/>
      <c r="E352" s="248"/>
      <c r="F352" s="248"/>
      <c r="G352" s="248"/>
      <c r="H352" s="248"/>
      <c r="I352" s="248"/>
      <c r="J352" s="248"/>
      <c r="K352" s="248"/>
      <c r="L352" s="248"/>
      <c r="AR352" s="426"/>
      <c r="AS352" s="426"/>
      <c r="AT352" s="248"/>
    </row>
    <row r="353" spans="1:46" ht="13.5">
      <c r="A353" s="248"/>
      <c r="B353" s="248"/>
      <c r="C353" s="248"/>
      <c r="D353" s="248"/>
      <c r="E353" s="248"/>
      <c r="F353" s="248"/>
      <c r="G353" s="248"/>
      <c r="H353" s="248"/>
      <c r="I353" s="248"/>
      <c r="J353" s="248"/>
      <c r="K353" s="248"/>
      <c r="L353" s="248"/>
      <c r="AR353" s="426"/>
      <c r="AS353" s="426"/>
      <c r="AT353" s="248"/>
    </row>
    <row r="354" spans="1:46" ht="13.5">
      <c r="A354" s="248"/>
      <c r="B354" s="248"/>
      <c r="C354" s="248"/>
      <c r="D354" s="248"/>
      <c r="E354" s="248"/>
      <c r="F354" s="248"/>
      <c r="G354" s="248"/>
      <c r="H354" s="248"/>
      <c r="I354" s="248"/>
      <c r="J354" s="248"/>
      <c r="K354" s="248"/>
      <c r="L354" s="248"/>
      <c r="AR354" s="426"/>
      <c r="AS354" s="426"/>
      <c r="AT354" s="248"/>
    </row>
    <row r="355" spans="1:46" ht="13.5">
      <c r="A355" s="248"/>
      <c r="B355" s="248"/>
      <c r="C355" s="248"/>
      <c r="D355" s="248"/>
      <c r="E355" s="248"/>
      <c r="F355" s="248"/>
      <c r="G355" s="248"/>
      <c r="H355" s="248"/>
      <c r="I355" s="248"/>
      <c r="J355" s="248"/>
      <c r="K355" s="248"/>
      <c r="L355" s="248"/>
      <c r="AR355" s="426"/>
      <c r="AS355" s="426"/>
      <c r="AT355" s="248"/>
    </row>
    <row r="356" spans="1:46" ht="13.5">
      <c r="A356" s="248"/>
      <c r="B356" s="248"/>
      <c r="C356" s="248"/>
      <c r="D356" s="248"/>
      <c r="E356" s="248"/>
      <c r="F356" s="248"/>
      <c r="G356" s="248"/>
      <c r="H356" s="248"/>
      <c r="I356" s="248"/>
      <c r="J356" s="248"/>
      <c r="K356" s="248"/>
      <c r="L356" s="248"/>
      <c r="AR356" s="426"/>
      <c r="AS356" s="426"/>
      <c r="AT356" s="248"/>
    </row>
    <row r="357" spans="1:46" ht="13.5">
      <c r="A357" s="248"/>
      <c r="B357" s="248"/>
      <c r="C357" s="248"/>
      <c r="D357" s="248"/>
      <c r="E357" s="248"/>
      <c r="F357" s="248"/>
      <c r="G357" s="248"/>
      <c r="H357" s="248"/>
      <c r="I357" s="248"/>
      <c r="J357" s="248"/>
      <c r="K357" s="248"/>
      <c r="L357" s="248"/>
      <c r="AR357" s="426"/>
      <c r="AS357" s="426"/>
      <c r="AT357" s="248"/>
    </row>
    <row r="358" spans="1:46" ht="13.5">
      <c r="A358" s="248"/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AR358" s="426"/>
      <c r="AS358" s="426"/>
      <c r="AT358" s="248"/>
    </row>
    <row r="359" spans="1:46" ht="13.5">
      <c r="A359" s="248"/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AR359" s="426"/>
      <c r="AS359" s="426"/>
      <c r="AT359" s="248"/>
    </row>
    <row r="360" spans="1:46" ht="13.5">
      <c r="A360" s="248"/>
      <c r="B360" s="248"/>
      <c r="C360" s="248"/>
      <c r="D360" s="248"/>
      <c r="E360" s="248"/>
      <c r="F360" s="248"/>
      <c r="G360" s="248"/>
      <c r="H360" s="248"/>
      <c r="I360" s="248"/>
      <c r="J360" s="248"/>
      <c r="K360" s="248"/>
      <c r="L360" s="248"/>
      <c r="AR360" s="426"/>
      <c r="AS360" s="426"/>
      <c r="AT360" s="248"/>
    </row>
    <row r="361" spans="1:46" ht="13.5">
      <c r="A361" s="248"/>
      <c r="B361" s="248"/>
      <c r="C361" s="248"/>
      <c r="D361" s="248"/>
      <c r="E361" s="248"/>
      <c r="F361" s="248"/>
      <c r="G361" s="248"/>
      <c r="H361" s="248"/>
      <c r="I361" s="248"/>
      <c r="J361" s="248"/>
      <c r="K361" s="248"/>
      <c r="L361" s="248"/>
      <c r="AR361" s="426"/>
      <c r="AS361" s="426"/>
      <c r="AT361" s="248"/>
    </row>
    <row r="362" spans="1:46" ht="13.5">
      <c r="A362" s="248"/>
      <c r="B362" s="248"/>
      <c r="C362" s="248"/>
      <c r="D362" s="248"/>
      <c r="E362" s="248"/>
      <c r="F362" s="248"/>
      <c r="G362" s="248"/>
      <c r="H362" s="248"/>
      <c r="I362" s="248"/>
      <c r="J362" s="248"/>
      <c r="K362" s="248"/>
      <c r="L362" s="248"/>
      <c r="AR362" s="426"/>
      <c r="AS362" s="426"/>
      <c r="AT362" s="248"/>
    </row>
    <row r="363" spans="1:46" ht="13.5">
      <c r="A363" s="248"/>
      <c r="B363" s="248"/>
      <c r="C363" s="248"/>
      <c r="D363" s="248"/>
      <c r="E363" s="248"/>
      <c r="F363" s="248"/>
      <c r="G363" s="248"/>
      <c r="H363" s="248"/>
      <c r="I363" s="248"/>
      <c r="J363" s="248"/>
      <c r="K363" s="248"/>
      <c r="L363" s="248"/>
      <c r="AR363" s="426"/>
      <c r="AS363" s="426"/>
      <c r="AT363" s="248"/>
    </row>
    <row r="364" spans="1:46" ht="13.5">
      <c r="A364" s="248"/>
      <c r="B364" s="248"/>
      <c r="C364" s="248"/>
      <c r="D364" s="248"/>
      <c r="E364" s="248"/>
      <c r="F364" s="248"/>
      <c r="G364" s="248"/>
      <c r="H364" s="248"/>
      <c r="I364" s="248"/>
      <c r="J364" s="248"/>
      <c r="K364" s="248"/>
      <c r="L364" s="248"/>
      <c r="AR364" s="426"/>
      <c r="AS364" s="426"/>
      <c r="AT364" s="248"/>
    </row>
    <row r="365" spans="1:46" ht="13.5">
      <c r="A365" s="248"/>
      <c r="B365" s="248"/>
      <c r="C365" s="248"/>
      <c r="D365" s="248"/>
      <c r="E365" s="248"/>
      <c r="F365" s="248"/>
      <c r="G365" s="248"/>
      <c r="H365" s="248"/>
      <c r="I365" s="248"/>
      <c r="J365" s="248"/>
      <c r="K365" s="248"/>
      <c r="L365" s="248"/>
      <c r="AR365" s="426"/>
      <c r="AS365" s="426"/>
      <c r="AT365" s="248"/>
    </row>
    <row r="366" spans="1:46" ht="13.5">
      <c r="A366" s="248"/>
      <c r="B366" s="248"/>
      <c r="C366" s="248"/>
      <c r="D366" s="248"/>
      <c r="E366" s="248"/>
      <c r="F366" s="248"/>
      <c r="G366" s="248"/>
      <c r="H366" s="248"/>
      <c r="I366" s="248"/>
      <c r="J366" s="248"/>
      <c r="K366" s="248"/>
      <c r="L366" s="248"/>
      <c r="AR366" s="426"/>
      <c r="AS366" s="426"/>
      <c r="AT366" s="248"/>
    </row>
    <row r="367" spans="1:46" ht="13.5">
      <c r="A367" s="248"/>
      <c r="B367" s="248"/>
      <c r="C367" s="248"/>
      <c r="D367" s="248"/>
      <c r="E367" s="248"/>
      <c r="F367" s="248"/>
      <c r="G367" s="248"/>
      <c r="H367" s="248"/>
      <c r="I367" s="248"/>
      <c r="J367" s="248"/>
      <c r="K367" s="248"/>
      <c r="L367" s="248"/>
      <c r="AR367" s="426"/>
      <c r="AS367" s="426"/>
      <c r="AT367" s="248"/>
    </row>
    <row r="368" spans="1:46" ht="13.5">
      <c r="A368" s="248"/>
      <c r="B368" s="248"/>
      <c r="C368" s="248"/>
      <c r="D368" s="248"/>
      <c r="E368" s="248"/>
      <c r="F368" s="248"/>
      <c r="G368" s="248"/>
      <c r="H368" s="248"/>
      <c r="I368" s="248"/>
      <c r="J368" s="248"/>
      <c r="K368" s="248"/>
      <c r="L368" s="248"/>
      <c r="AR368" s="426"/>
      <c r="AS368" s="426"/>
      <c r="AT368" s="248"/>
    </row>
    <row r="369" spans="1:46" ht="13.5">
      <c r="A369" s="248"/>
      <c r="B369" s="248"/>
      <c r="C369" s="248"/>
      <c r="D369" s="248"/>
      <c r="E369" s="248"/>
      <c r="F369" s="248"/>
      <c r="G369" s="248"/>
      <c r="H369" s="248"/>
      <c r="I369" s="248"/>
      <c r="J369" s="248"/>
      <c r="K369" s="248"/>
      <c r="L369" s="248"/>
      <c r="AR369" s="426"/>
      <c r="AS369" s="426"/>
      <c r="AT369" s="248"/>
    </row>
    <row r="370" spans="1:46" ht="13.5">
      <c r="A370" s="248"/>
      <c r="B370" s="248"/>
      <c r="C370" s="248"/>
      <c r="D370" s="248"/>
      <c r="E370" s="248"/>
      <c r="F370" s="248"/>
      <c r="G370" s="248"/>
      <c r="H370" s="248"/>
      <c r="I370" s="248"/>
      <c r="J370" s="248"/>
      <c r="K370" s="248"/>
      <c r="L370" s="248"/>
      <c r="AR370" s="426"/>
      <c r="AS370" s="426"/>
      <c r="AT370" s="248"/>
    </row>
    <row r="371" spans="1:46" ht="13.5">
      <c r="A371" s="248"/>
      <c r="B371" s="248"/>
      <c r="C371" s="248"/>
      <c r="D371" s="248"/>
      <c r="E371" s="248"/>
      <c r="F371" s="248"/>
      <c r="G371" s="248"/>
      <c r="H371" s="248"/>
      <c r="I371" s="248"/>
      <c r="J371" s="248"/>
      <c r="K371" s="248"/>
      <c r="L371" s="248"/>
      <c r="AR371" s="426"/>
      <c r="AS371" s="426"/>
      <c r="AT371" s="248"/>
    </row>
    <row r="372" spans="1:46" ht="13.5">
      <c r="A372" s="248"/>
      <c r="B372" s="248"/>
      <c r="C372" s="248"/>
      <c r="D372" s="248"/>
      <c r="E372" s="248"/>
      <c r="F372" s="248"/>
      <c r="G372" s="248"/>
      <c r="H372" s="248"/>
      <c r="I372" s="248"/>
      <c r="J372" s="248"/>
      <c r="K372" s="248"/>
      <c r="L372" s="248"/>
      <c r="AR372" s="426"/>
      <c r="AS372" s="426"/>
      <c r="AT372" s="248"/>
    </row>
    <row r="373" spans="1:46" ht="13.5">
      <c r="A373" s="248"/>
      <c r="B373" s="248"/>
      <c r="C373" s="248"/>
      <c r="D373" s="248"/>
      <c r="E373" s="248"/>
      <c r="F373" s="248"/>
      <c r="G373" s="248"/>
      <c r="H373" s="248"/>
      <c r="I373" s="248"/>
      <c r="J373" s="248"/>
      <c r="K373" s="248"/>
      <c r="L373" s="248"/>
      <c r="AR373" s="426"/>
      <c r="AS373" s="426"/>
      <c r="AT373" s="248"/>
    </row>
    <row r="374" spans="1:46" ht="13.5">
      <c r="A374" s="248"/>
      <c r="B374" s="248"/>
      <c r="C374" s="248"/>
      <c r="D374" s="248"/>
      <c r="E374" s="248"/>
      <c r="F374" s="248"/>
      <c r="G374" s="248"/>
      <c r="H374" s="248"/>
      <c r="I374" s="248"/>
      <c r="J374" s="248"/>
      <c r="K374" s="248"/>
      <c r="L374" s="248"/>
      <c r="AR374" s="426"/>
      <c r="AS374" s="426"/>
      <c r="AT374" s="248"/>
    </row>
    <row r="375" spans="1:46" ht="13.5">
      <c r="A375" s="248"/>
      <c r="B375" s="248"/>
      <c r="C375" s="248"/>
      <c r="D375" s="248"/>
      <c r="E375" s="248"/>
      <c r="F375" s="248"/>
      <c r="G375" s="248"/>
      <c r="H375" s="248"/>
      <c r="I375" s="248"/>
      <c r="J375" s="248"/>
      <c r="K375" s="248"/>
      <c r="L375" s="248"/>
      <c r="AR375" s="426"/>
      <c r="AS375" s="426"/>
      <c r="AT375" s="248"/>
    </row>
    <row r="376" spans="1:46" ht="13.5">
      <c r="A376" s="248"/>
      <c r="B376" s="248"/>
      <c r="C376" s="248"/>
      <c r="D376" s="248"/>
      <c r="E376" s="248"/>
      <c r="F376" s="248"/>
      <c r="G376" s="248"/>
      <c r="H376" s="248"/>
      <c r="I376" s="248"/>
      <c r="J376" s="248"/>
      <c r="K376" s="248"/>
      <c r="L376" s="248"/>
      <c r="AR376" s="426"/>
      <c r="AS376" s="426"/>
      <c r="AT376" s="248"/>
    </row>
    <row r="377" spans="1:46" ht="13.5">
      <c r="A377" s="248"/>
      <c r="B377" s="248"/>
      <c r="C377" s="248"/>
      <c r="D377" s="248"/>
      <c r="E377" s="248"/>
      <c r="F377" s="248"/>
      <c r="G377" s="248"/>
      <c r="H377" s="248"/>
      <c r="I377" s="248"/>
      <c r="J377" s="248"/>
      <c r="K377" s="248"/>
      <c r="L377" s="248"/>
      <c r="AR377" s="426"/>
      <c r="AS377" s="426"/>
      <c r="AT377" s="248"/>
    </row>
    <row r="378" spans="1:46" ht="13.5">
      <c r="A378" s="248"/>
      <c r="B378" s="248"/>
      <c r="C378" s="248"/>
      <c r="D378" s="248"/>
      <c r="E378" s="248"/>
      <c r="F378" s="248"/>
      <c r="G378" s="248"/>
      <c r="H378" s="248"/>
      <c r="I378" s="248"/>
      <c r="J378" s="248"/>
      <c r="K378" s="248"/>
      <c r="L378" s="248"/>
      <c r="AR378" s="426"/>
      <c r="AS378" s="426"/>
      <c r="AT378" s="248"/>
    </row>
    <row r="379" spans="1:46" ht="13.5">
      <c r="A379" s="248"/>
      <c r="B379" s="248"/>
      <c r="C379" s="248"/>
      <c r="D379" s="248"/>
      <c r="E379" s="248"/>
      <c r="F379" s="248"/>
      <c r="G379" s="248"/>
      <c r="H379" s="248"/>
      <c r="I379" s="248"/>
      <c r="J379" s="248"/>
      <c r="K379" s="248"/>
      <c r="L379" s="248"/>
      <c r="AR379" s="426"/>
      <c r="AS379" s="426"/>
      <c r="AT379" s="248"/>
    </row>
    <row r="380" spans="1:46" ht="13.5">
      <c r="A380" s="248"/>
      <c r="B380" s="248"/>
      <c r="C380" s="248"/>
      <c r="D380" s="248"/>
      <c r="E380" s="248"/>
      <c r="F380" s="248"/>
      <c r="G380" s="248"/>
      <c r="H380" s="248"/>
      <c r="I380" s="248"/>
      <c r="J380" s="248"/>
      <c r="K380" s="248"/>
      <c r="L380" s="248"/>
      <c r="AR380" s="426"/>
      <c r="AS380" s="426"/>
      <c r="AT380" s="248"/>
    </row>
    <row r="381" spans="1:46" ht="13.5">
      <c r="A381" s="248"/>
      <c r="B381" s="248"/>
      <c r="C381" s="248"/>
      <c r="D381" s="248"/>
      <c r="E381" s="248"/>
      <c r="F381" s="248"/>
      <c r="G381" s="248"/>
      <c r="H381" s="248"/>
      <c r="I381" s="248"/>
      <c r="J381" s="248"/>
      <c r="K381" s="248"/>
      <c r="L381" s="248"/>
      <c r="AR381" s="426"/>
      <c r="AS381" s="426"/>
      <c r="AT381" s="248"/>
    </row>
    <row r="382" spans="1:46" ht="13.5">
      <c r="A382" s="248"/>
      <c r="B382" s="248"/>
      <c r="C382" s="248"/>
      <c r="D382" s="248"/>
      <c r="E382" s="248"/>
      <c r="F382" s="248"/>
      <c r="G382" s="248"/>
      <c r="H382" s="248"/>
      <c r="I382" s="248"/>
      <c r="J382" s="248"/>
      <c r="K382" s="248"/>
      <c r="L382" s="248"/>
      <c r="AR382" s="426"/>
      <c r="AS382" s="426"/>
      <c r="AT382" s="248"/>
    </row>
    <row r="383" spans="1:46" ht="13.5">
      <c r="A383" s="248"/>
      <c r="B383" s="248"/>
      <c r="C383" s="248"/>
      <c r="D383" s="248"/>
      <c r="E383" s="248"/>
      <c r="F383" s="248"/>
      <c r="G383" s="248"/>
      <c r="H383" s="248"/>
      <c r="I383" s="248"/>
      <c r="J383" s="248"/>
      <c r="K383" s="248"/>
      <c r="L383" s="248"/>
      <c r="AR383" s="426"/>
      <c r="AS383" s="426"/>
      <c r="AT383" s="248"/>
    </row>
    <row r="384" spans="1:46" ht="13.5">
      <c r="A384" s="248"/>
      <c r="B384" s="248"/>
      <c r="C384" s="248"/>
      <c r="D384" s="248"/>
      <c r="E384" s="248"/>
      <c r="F384" s="248"/>
      <c r="G384" s="248"/>
      <c r="H384" s="248"/>
      <c r="I384" s="248"/>
      <c r="J384" s="248"/>
      <c r="K384" s="248"/>
      <c r="L384" s="248"/>
      <c r="AR384" s="426"/>
      <c r="AS384" s="426"/>
      <c r="AT384" s="248"/>
    </row>
    <row r="385" spans="1:46" ht="13.5">
      <c r="A385" s="248"/>
      <c r="B385" s="248"/>
      <c r="C385" s="248"/>
      <c r="D385" s="248"/>
      <c r="E385" s="248"/>
      <c r="F385" s="248"/>
      <c r="G385" s="248"/>
      <c r="H385" s="248"/>
      <c r="I385" s="248"/>
      <c r="J385" s="248"/>
      <c r="K385" s="248"/>
      <c r="L385" s="248"/>
      <c r="AR385" s="426"/>
      <c r="AS385" s="426"/>
      <c r="AT385" s="248"/>
    </row>
    <row r="386" spans="1:46" ht="13.5">
      <c r="A386" s="248"/>
      <c r="B386" s="248"/>
      <c r="C386" s="248"/>
      <c r="D386" s="248"/>
      <c r="E386" s="248"/>
      <c r="F386" s="248"/>
      <c r="G386" s="248"/>
      <c r="H386" s="248"/>
      <c r="I386" s="248"/>
      <c r="J386" s="248"/>
      <c r="K386" s="248"/>
      <c r="L386" s="248"/>
      <c r="AR386" s="426"/>
      <c r="AS386" s="426"/>
      <c r="AT386" s="248"/>
    </row>
    <row r="387" spans="1:46" ht="13.5">
      <c r="A387" s="248"/>
      <c r="B387" s="248"/>
      <c r="C387" s="248"/>
      <c r="D387" s="248"/>
      <c r="E387" s="248"/>
      <c r="F387" s="248"/>
      <c r="G387" s="248"/>
      <c r="H387" s="248"/>
      <c r="I387" s="248"/>
      <c r="J387" s="248"/>
      <c r="K387" s="248"/>
      <c r="L387" s="248"/>
      <c r="AR387" s="426"/>
      <c r="AS387" s="426"/>
      <c r="AT387" s="248"/>
    </row>
    <row r="388" spans="1:46" ht="13.5">
      <c r="A388" s="248"/>
      <c r="B388" s="248"/>
      <c r="C388" s="248"/>
      <c r="D388" s="248"/>
      <c r="E388" s="248"/>
      <c r="F388" s="248"/>
      <c r="G388" s="248"/>
      <c r="H388" s="248"/>
      <c r="I388" s="248"/>
      <c r="J388" s="248"/>
      <c r="K388" s="248"/>
      <c r="L388" s="248"/>
      <c r="AR388" s="426"/>
      <c r="AS388" s="426"/>
      <c r="AT388" s="248"/>
    </row>
    <row r="389" spans="1:46" ht="13.5">
      <c r="A389" s="248"/>
      <c r="B389" s="248"/>
      <c r="C389" s="248"/>
      <c r="D389" s="248"/>
      <c r="E389" s="248"/>
      <c r="F389" s="248"/>
      <c r="G389" s="248"/>
      <c r="H389" s="248"/>
      <c r="I389" s="248"/>
      <c r="J389" s="248"/>
      <c r="K389" s="248"/>
      <c r="L389" s="248"/>
      <c r="AR389" s="426"/>
      <c r="AS389" s="426"/>
      <c r="AT389" s="248"/>
    </row>
    <row r="390" spans="1:46" ht="13.5">
      <c r="A390" s="248"/>
      <c r="B390" s="248"/>
      <c r="C390" s="248"/>
      <c r="D390" s="248"/>
      <c r="E390" s="248"/>
      <c r="F390" s="248"/>
      <c r="G390" s="248"/>
      <c r="H390" s="248"/>
      <c r="I390" s="248"/>
      <c r="J390" s="248"/>
      <c r="K390" s="248"/>
      <c r="L390" s="248"/>
      <c r="AR390" s="426"/>
      <c r="AS390" s="426"/>
      <c r="AT390" s="248"/>
    </row>
    <row r="391" spans="1:46" ht="13.5">
      <c r="A391" s="248"/>
      <c r="B391" s="248"/>
      <c r="C391" s="248"/>
      <c r="D391" s="248"/>
      <c r="E391" s="248"/>
      <c r="F391" s="248"/>
      <c r="G391" s="248"/>
      <c r="H391" s="248"/>
      <c r="I391" s="248"/>
      <c r="J391" s="248"/>
      <c r="K391" s="248"/>
      <c r="L391" s="248"/>
      <c r="AR391" s="426"/>
      <c r="AS391" s="426"/>
      <c r="AT391" s="248"/>
    </row>
    <row r="392" spans="1:46" ht="13.5">
      <c r="A392" s="248"/>
      <c r="B392" s="248"/>
      <c r="C392" s="248"/>
      <c r="D392" s="248"/>
      <c r="E392" s="248"/>
      <c r="F392" s="248"/>
      <c r="G392" s="248"/>
      <c r="H392" s="248"/>
      <c r="I392" s="248"/>
      <c r="J392" s="248"/>
      <c r="K392" s="248"/>
      <c r="L392" s="248"/>
      <c r="AR392" s="426"/>
      <c r="AS392" s="426"/>
      <c r="AT392" s="248"/>
    </row>
    <row r="393" spans="1:46" ht="13.5">
      <c r="A393" s="248"/>
      <c r="B393" s="248"/>
      <c r="C393" s="248"/>
      <c r="D393" s="248"/>
      <c r="E393" s="248"/>
      <c r="F393" s="248"/>
      <c r="G393" s="248"/>
      <c r="H393" s="248"/>
      <c r="I393" s="248"/>
      <c r="J393" s="248"/>
      <c r="K393" s="248"/>
      <c r="L393" s="248"/>
      <c r="AR393" s="426"/>
      <c r="AS393" s="426"/>
      <c r="AT393" s="248"/>
    </row>
    <row r="394" spans="1:46" ht="13.5">
      <c r="A394" s="248"/>
      <c r="B394" s="248"/>
      <c r="C394" s="248"/>
      <c r="D394" s="248"/>
      <c r="E394" s="248"/>
      <c r="F394" s="248"/>
      <c r="G394" s="248"/>
      <c r="H394" s="248"/>
      <c r="I394" s="248"/>
      <c r="J394" s="248"/>
      <c r="K394" s="248"/>
      <c r="L394" s="248"/>
      <c r="AR394" s="426"/>
      <c r="AS394" s="426"/>
      <c r="AT394" s="248"/>
    </row>
    <row r="395" spans="1:46" ht="13.5">
      <c r="A395" s="248"/>
      <c r="B395" s="248"/>
      <c r="C395" s="248"/>
      <c r="D395" s="248"/>
      <c r="E395" s="248"/>
      <c r="F395" s="248"/>
      <c r="G395" s="248"/>
      <c r="H395" s="248"/>
      <c r="I395" s="248"/>
      <c r="J395" s="248"/>
      <c r="K395" s="248"/>
      <c r="L395" s="248"/>
      <c r="AR395" s="426"/>
      <c r="AS395" s="426"/>
      <c r="AT395" s="248"/>
    </row>
    <row r="396" spans="1:46" ht="13.5">
      <c r="A396" s="248"/>
      <c r="B396" s="248"/>
      <c r="C396" s="248"/>
      <c r="D396" s="248"/>
      <c r="E396" s="248"/>
      <c r="F396" s="248"/>
      <c r="G396" s="248"/>
      <c r="H396" s="248"/>
      <c r="I396" s="248"/>
      <c r="J396" s="248"/>
      <c r="K396" s="248"/>
      <c r="L396" s="248"/>
      <c r="AR396" s="426"/>
      <c r="AS396" s="426"/>
      <c r="AT396" s="248"/>
    </row>
    <row r="397" spans="1:46" ht="13.5">
      <c r="A397" s="248"/>
      <c r="B397" s="248"/>
      <c r="C397" s="248"/>
      <c r="D397" s="248"/>
      <c r="E397" s="248"/>
      <c r="F397" s="248"/>
      <c r="G397" s="248"/>
      <c r="H397" s="248"/>
      <c r="I397" s="248"/>
      <c r="J397" s="248"/>
      <c r="K397" s="248"/>
      <c r="L397" s="248"/>
      <c r="AR397" s="426"/>
      <c r="AS397" s="426"/>
      <c r="AT397" s="248"/>
    </row>
    <row r="398" spans="1:46" ht="13.5">
      <c r="A398" s="248"/>
      <c r="B398" s="248"/>
      <c r="C398" s="248"/>
      <c r="D398" s="248"/>
      <c r="E398" s="248"/>
      <c r="F398" s="248"/>
      <c r="G398" s="248"/>
      <c r="H398" s="248"/>
      <c r="I398" s="248"/>
      <c r="J398" s="248"/>
      <c r="K398" s="248"/>
      <c r="L398" s="248"/>
      <c r="AR398" s="426"/>
      <c r="AS398" s="426"/>
      <c r="AT398" s="248"/>
    </row>
    <row r="399" spans="1:46" ht="13.5">
      <c r="A399" s="248"/>
      <c r="B399" s="248"/>
      <c r="C399" s="248"/>
      <c r="D399" s="248"/>
      <c r="E399" s="248"/>
      <c r="F399" s="248"/>
      <c r="G399" s="248"/>
      <c r="H399" s="248"/>
      <c r="I399" s="248"/>
      <c r="J399" s="248"/>
      <c r="K399" s="248"/>
      <c r="L399" s="248"/>
      <c r="AR399" s="426"/>
      <c r="AS399" s="426"/>
      <c r="AT399" s="248"/>
    </row>
    <row r="400" spans="1:46" ht="13.5">
      <c r="A400" s="248"/>
      <c r="B400" s="248"/>
      <c r="C400" s="248"/>
      <c r="D400" s="248"/>
      <c r="E400" s="248"/>
      <c r="F400" s="248"/>
      <c r="G400" s="248"/>
      <c r="H400" s="248"/>
      <c r="I400" s="248"/>
      <c r="J400" s="248"/>
      <c r="K400" s="248"/>
      <c r="L400" s="248"/>
      <c r="AR400" s="426"/>
      <c r="AS400" s="426"/>
      <c r="AT400" s="248"/>
    </row>
    <row r="401" spans="1:46" ht="13.5">
      <c r="A401" s="248"/>
      <c r="B401" s="248"/>
      <c r="C401" s="248"/>
      <c r="D401" s="248"/>
      <c r="E401" s="248"/>
      <c r="F401" s="248"/>
      <c r="G401" s="248"/>
      <c r="H401" s="248"/>
      <c r="I401" s="248"/>
      <c r="J401" s="248"/>
      <c r="K401" s="248"/>
      <c r="L401" s="248"/>
      <c r="AR401" s="426"/>
      <c r="AS401" s="426"/>
      <c r="AT401" s="248"/>
    </row>
    <row r="402" spans="1:46" ht="13.5">
      <c r="A402" s="248"/>
      <c r="B402" s="248"/>
      <c r="C402" s="248"/>
      <c r="D402" s="248"/>
      <c r="E402" s="248"/>
      <c r="F402" s="248"/>
      <c r="G402" s="248"/>
      <c r="H402" s="248"/>
      <c r="I402" s="248"/>
      <c r="J402" s="248"/>
      <c r="K402" s="248"/>
      <c r="L402" s="248"/>
      <c r="AR402" s="426"/>
      <c r="AS402" s="426"/>
      <c r="AT402" s="248"/>
    </row>
    <row r="403" spans="1:46" ht="13.5">
      <c r="A403" s="248"/>
      <c r="B403" s="248"/>
      <c r="C403" s="248"/>
      <c r="D403" s="248"/>
      <c r="E403" s="248"/>
      <c r="F403" s="248"/>
      <c r="G403" s="248"/>
      <c r="H403" s="248"/>
      <c r="I403" s="248"/>
      <c r="J403" s="248"/>
      <c r="K403" s="248"/>
      <c r="L403" s="248"/>
      <c r="AR403" s="426"/>
      <c r="AS403" s="426"/>
      <c r="AT403" s="248"/>
    </row>
    <row r="404" spans="1:46" ht="13.5">
      <c r="A404" s="248"/>
      <c r="B404" s="248"/>
      <c r="C404" s="248"/>
      <c r="D404" s="248"/>
      <c r="E404" s="248"/>
      <c r="F404" s="248"/>
      <c r="G404" s="248"/>
      <c r="H404" s="248"/>
      <c r="I404" s="248"/>
      <c r="J404" s="248"/>
      <c r="K404" s="248"/>
      <c r="L404" s="248"/>
      <c r="AR404" s="426"/>
      <c r="AS404" s="426"/>
      <c r="AT404" s="248"/>
    </row>
    <row r="405" spans="1:46" ht="13.5">
      <c r="A405" s="248"/>
      <c r="B405" s="248"/>
      <c r="C405" s="248"/>
      <c r="D405" s="248"/>
      <c r="E405" s="248"/>
      <c r="F405" s="248"/>
      <c r="G405" s="248"/>
      <c r="H405" s="248"/>
      <c r="I405" s="248"/>
      <c r="J405" s="248"/>
      <c r="K405" s="248"/>
      <c r="L405" s="248"/>
      <c r="AR405" s="426"/>
      <c r="AS405" s="426"/>
      <c r="AT405" s="248"/>
    </row>
    <row r="406" spans="1:46" ht="13.5">
      <c r="A406" s="248"/>
      <c r="B406" s="248"/>
      <c r="C406" s="248"/>
      <c r="D406" s="248"/>
      <c r="E406" s="248"/>
      <c r="F406" s="248"/>
      <c r="G406" s="248"/>
      <c r="H406" s="248"/>
      <c r="I406" s="248"/>
      <c r="J406" s="248"/>
      <c r="K406" s="248"/>
      <c r="L406" s="248"/>
      <c r="AR406" s="426"/>
      <c r="AS406" s="426"/>
      <c r="AT406" s="248"/>
    </row>
    <row r="407" spans="1:46" ht="13.5">
      <c r="A407" s="248"/>
      <c r="B407" s="248"/>
      <c r="C407" s="248"/>
      <c r="D407" s="248"/>
      <c r="E407" s="248"/>
      <c r="F407" s="248"/>
      <c r="G407" s="248"/>
      <c r="H407" s="248"/>
      <c r="I407" s="248"/>
      <c r="J407" s="248"/>
      <c r="K407" s="248"/>
      <c r="L407" s="248"/>
      <c r="AR407" s="426"/>
      <c r="AS407" s="426"/>
      <c r="AT407" s="248"/>
    </row>
    <row r="408" spans="1:46" ht="13.5">
      <c r="A408" s="248"/>
      <c r="B408" s="248"/>
      <c r="C408" s="248"/>
      <c r="D408" s="248"/>
      <c r="E408" s="248"/>
      <c r="F408" s="248"/>
      <c r="G408" s="248"/>
      <c r="H408" s="248"/>
      <c r="I408" s="248"/>
      <c r="J408" s="248"/>
      <c r="K408" s="248"/>
      <c r="L408" s="248"/>
      <c r="AR408" s="426"/>
      <c r="AS408" s="426"/>
      <c r="AT408" s="248"/>
    </row>
    <row r="409" spans="1:46" ht="13.5">
      <c r="A409" s="248"/>
      <c r="B409" s="248"/>
      <c r="C409" s="248"/>
      <c r="D409" s="248"/>
      <c r="E409" s="248"/>
      <c r="F409" s="248"/>
      <c r="G409" s="248"/>
      <c r="H409" s="248"/>
      <c r="I409" s="248"/>
      <c r="J409" s="248"/>
      <c r="K409" s="248"/>
      <c r="L409" s="248"/>
      <c r="AR409" s="426"/>
      <c r="AS409" s="426"/>
      <c r="AT409" s="248"/>
    </row>
    <row r="410" spans="1:46" ht="13.5">
      <c r="A410" s="248"/>
      <c r="B410" s="248"/>
      <c r="C410" s="248"/>
      <c r="D410" s="248"/>
      <c r="E410" s="248"/>
      <c r="F410" s="248"/>
      <c r="G410" s="248"/>
      <c r="H410" s="248"/>
      <c r="I410" s="248"/>
      <c r="J410" s="248"/>
      <c r="K410" s="248"/>
      <c r="L410" s="248"/>
      <c r="AR410" s="426"/>
      <c r="AS410" s="426"/>
      <c r="AT410" s="248"/>
    </row>
    <row r="411" spans="1:46" ht="13.5">
      <c r="A411" s="248"/>
      <c r="B411" s="248"/>
      <c r="C411" s="248"/>
      <c r="D411" s="248"/>
      <c r="E411" s="248"/>
      <c r="F411" s="248"/>
      <c r="G411" s="248"/>
      <c r="H411" s="248"/>
      <c r="I411" s="248"/>
      <c r="J411" s="248"/>
      <c r="K411" s="248"/>
      <c r="L411" s="248"/>
      <c r="AR411" s="426"/>
      <c r="AS411" s="426"/>
      <c r="AT411" s="248"/>
    </row>
    <row r="412" spans="1:46" ht="13.5">
      <c r="A412" s="248"/>
      <c r="B412" s="248"/>
      <c r="C412" s="248"/>
      <c r="D412" s="248"/>
      <c r="E412" s="248"/>
      <c r="F412" s="248"/>
      <c r="G412" s="248"/>
      <c r="H412" s="248"/>
      <c r="I412" s="248"/>
      <c r="J412" s="248"/>
      <c r="K412" s="248"/>
      <c r="L412" s="248"/>
      <c r="AR412" s="426"/>
      <c r="AS412" s="426"/>
      <c r="AT412" s="248"/>
    </row>
    <row r="413" spans="1:46" ht="13.5">
      <c r="A413" s="248"/>
      <c r="B413" s="248"/>
      <c r="C413" s="248"/>
      <c r="D413" s="248"/>
      <c r="E413" s="248"/>
      <c r="F413" s="248"/>
      <c r="G413" s="248"/>
      <c r="H413" s="248"/>
      <c r="I413" s="248"/>
      <c r="J413" s="248"/>
      <c r="K413" s="248"/>
      <c r="L413" s="248"/>
      <c r="AR413" s="426"/>
      <c r="AS413" s="426"/>
      <c r="AT413" s="248"/>
    </row>
    <row r="414" spans="1:46" ht="13.5">
      <c r="A414" s="248"/>
      <c r="B414" s="248"/>
      <c r="C414" s="248"/>
      <c r="D414" s="248"/>
      <c r="E414" s="248"/>
      <c r="F414" s="248"/>
      <c r="G414" s="248"/>
      <c r="H414" s="248"/>
      <c r="I414" s="248"/>
      <c r="J414" s="248"/>
      <c r="K414" s="248"/>
      <c r="L414" s="248"/>
      <c r="AR414" s="426"/>
      <c r="AS414" s="426"/>
      <c r="AT414" s="248"/>
    </row>
    <row r="415" spans="1:46" ht="13.5">
      <c r="A415" s="248"/>
      <c r="B415" s="248"/>
      <c r="C415" s="248"/>
      <c r="D415" s="248"/>
      <c r="E415" s="248"/>
      <c r="F415" s="248"/>
      <c r="G415" s="248"/>
      <c r="H415" s="248"/>
      <c r="I415" s="248"/>
      <c r="J415" s="248"/>
      <c r="K415" s="248"/>
      <c r="L415" s="248"/>
      <c r="AR415" s="426"/>
      <c r="AS415" s="426"/>
      <c r="AT415" s="248"/>
    </row>
    <row r="416" spans="1:46" ht="13.5">
      <c r="A416" s="248"/>
      <c r="B416" s="248"/>
      <c r="C416" s="248"/>
      <c r="D416" s="248"/>
      <c r="E416" s="248"/>
      <c r="F416" s="248"/>
      <c r="G416" s="248"/>
      <c r="H416" s="248"/>
      <c r="I416" s="248"/>
      <c r="J416" s="248"/>
      <c r="K416" s="248"/>
      <c r="L416" s="248"/>
      <c r="AR416" s="426"/>
      <c r="AS416" s="426"/>
      <c r="AT416" s="248"/>
    </row>
    <row r="417" spans="1:46" ht="13.5">
      <c r="A417" s="248"/>
      <c r="B417" s="248"/>
      <c r="C417" s="248"/>
      <c r="D417" s="248"/>
      <c r="E417" s="248"/>
      <c r="F417" s="248"/>
      <c r="G417" s="248"/>
      <c r="H417" s="248"/>
      <c r="I417" s="248"/>
      <c r="J417" s="248"/>
      <c r="K417" s="248"/>
      <c r="L417" s="248"/>
      <c r="AR417" s="426"/>
      <c r="AS417" s="426"/>
      <c r="AT417" s="248"/>
    </row>
    <row r="418" spans="1:46" ht="13.5">
      <c r="A418" s="248"/>
      <c r="B418" s="248"/>
      <c r="C418" s="248"/>
      <c r="D418" s="248"/>
      <c r="E418" s="248"/>
      <c r="F418" s="248"/>
      <c r="G418" s="248"/>
      <c r="H418" s="248"/>
      <c r="I418" s="248"/>
      <c r="J418" s="248"/>
      <c r="K418" s="248"/>
      <c r="L418" s="248"/>
      <c r="AR418" s="426"/>
      <c r="AS418" s="426"/>
      <c r="AT418" s="248"/>
    </row>
    <row r="419" spans="1:46" ht="13.5">
      <c r="A419" s="248"/>
      <c r="B419" s="248"/>
      <c r="C419" s="248"/>
      <c r="D419" s="248"/>
      <c r="E419" s="248"/>
      <c r="F419" s="248"/>
      <c r="G419" s="248"/>
      <c r="H419" s="248"/>
      <c r="I419" s="248"/>
      <c r="J419" s="248"/>
      <c r="K419" s="248"/>
      <c r="L419" s="248"/>
      <c r="AR419" s="426"/>
      <c r="AS419" s="426"/>
      <c r="AT419" s="248"/>
    </row>
    <row r="420" spans="1:46" ht="13.5">
      <c r="A420" s="248"/>
      <c r="B420" s="248"/>
      <c r="C420" s="248"/>
      <c r="D420" s="248"/>
      <c r="E420" s="248"/>
      <c r="F420" s="248"/>
      <c r="G420" s="248"/>
      <c r="H420" s="248"/>
      <c r="I420" s="248"/>
      <c r="J420" s="248"/>
      <c r="K420" s="248"/>
      <c r="L420" s="248"/>
      <c r="AR420" s="426"/>
      <c r="AS420" s="426"/>
      <c r="AT420" s="248"/>
    </row>
    <row r="421" spans="1:46" ht="13.5">
      <c r="A421" s="248"/>
      <c r="B421" s="248"/>
      <c r="C421" s="248"/>
      <c r="D421" s="248"/>
      <c r="E421" s="248"/>
      <c r="F421" s="248"/>
      <c r="G421" s="248"/>
      <c r="H421" s="248"/>
      <c r="I421" s="248"/>
      <c r="J421" s="248"/>
      <c r="K421" s="248"/>
      <c r="L421" s="248"/>
      <c r="AR421" s="426"/>
      <c r="AS421" s="426"/>
      <c r="AT421" s="248"/>
    </row>
    <row r="422" spans="1:46" ht="13.5">
      <c r="A422" s="248"/>
      <c r="B422" s="248"/>
      <c r="C422" s="248"/>
      <c r="D422" s="248"/>
      <c r="E422" s="248"/>
      <c r="F422" s="248"/>
      <c r="G422" s="248"/>
      <c r="H422" s="248"/>
      <c r="I422" s="248"/>
      <c r="J422" s="248"/>
      <c r="K422" s="248"/>
      <c r="L422" s="248"/>
      <c r="AR422" s="426"/>
      <c r="AS422" s="426"/>
      <c r="AT422" s="248"/>
    </row>
    <row r="423" spans="1:46" ht="13.5">
      <c r="A423" s="248"/>
      <c r="B423" s="248"/>
      <c r="C423" s="248"/>
      <c r="D423" s="248"/>
      <c r="E423" s="248"/>
      <c r="F423" s="248"/>
      <c r="G423" s="248"/>
      <c r="H423" s="248"/>
      <c r="I423" s="248"/>
      <c r="J423" s="248"/>
      <c r="K423" s="248"/>
      <c r="L423" s="248"/>
      <c r="AR423" s="426"/>
      <c r="AS423" s="426"/>
      <c r="AT423" s="248"/>
    </row>
    <row r="424" spans="1:46" ht="13.5">
      <c r="A424" s="248"/>
      <c r="B424" s="248"/>
      <c r="C424" s="248"/>
      <c r="D424" s="248"/>
      <c r="E424" s="248"/>
      <c r="F424" s="248"/>
      <c r="G424" s="248"/>
      <c r="H424" s="248"/>
      <c r="I424" s="248"/>
      <c r="J424" s="248"/>
      <c r="K424" s="248"/>
      <c r="L424" s="248"/>
      <c r="AR424" s="426"/>
      <c r="AS424" s="426"/>
      <c r="AT424" s="248"/>
    </row>
    <row r="425" spans="1:46" ht="13.5">
      <c r="A425" s="248"/>
      <c r="B425" s="248"/>
      <c r="C425" s="248"/>
      <c r="D425" s="248"/>
      <c r="E425" s="248"/>
      <c r="F425" s="248"/>
      <c r="G425" s="248"/>
      <c r="H425" s="248"/>
      <c r="I425" s="248"/>
      <c r="J425" s="248"/>
      <c r="K425" s="248"/>
      <c r="L425" s="248"/>
      <c r="AR425" s="426"/>
      <c r="AS425" s="426"/>
      <c r="AT425" s="248"/>
    </row>
    <row r="426" spans="1:46" ht="13.5">
      <c r="A426" s="248"/>
      <c r="B426" s="248"/>
      <c r="C426" s="248"/>
      <c r="D426" s="248"/>
      <c r="E426" s="248"/>
      <c r="F426" s="248"/>
      <c r="G426" s="248"/>
      <c r="H426" s="248"/>
      <c r="I426" s="248"/>
      <c r="J426" s="248"/>
      <c r="K426" s="248"/>
      <c r="L426" s="248"/>
      <c r="AR426" s="426"/>
      <c r="AS426" s="426"/>
      <c r="AT426" s="248"/>
    </row>
    <row r="427" spans="1:46" ht="13.5">
      <c r="A427" s="248"/>
      <c r="B427" s="248"/>
      <c r="C427" s="248"/>
      <c r="D427" s="248"/>
      <c r="E427" s="248"/>
      <c r="F427" s="248"/>
      <c r="G427" s="248"/>
      <c r="H427" s="248"/>
      <c r="I427" s="248"/>
      <c r="J427" s="248"/>
      <c r="K427" s="248"/>
      <c r="L427" s="248"/>
      <c r="AR427" s="426"/>
      <c r="AS427" s="426"/>
      <c r="AT427" s="248"/>
    </row>
    <row r="428" spans="1:46" ht="13.5">
      <c r="A428" s="248"/>
      <c r="B428" s="248"/>
      <c r="C428" s="248"/>
      <c r="D428" s="248"/>
      <c r="E428" s="248"/>
      <c r="F428" s="248"/>
      <c r="G428" s="248"/>
      <c r="H428" s="248"/>
      <c r="I428" s="248"/>
      <c r="J428" s="248"/>
      <c r="K428" s="248"/>
      <c r="L428" s="248"/>
      <c r="AR428" s="426"/>
      <c r="AS428" s="426"/>
      <c r="AT428" s="248"/>
    </row>
    <row r="429" spans="1:46" ht="13.5">
      <c r="A429" s="248"/>
      <c r="B429" s="248"/>
      <c r="C429" s="248"/>
      <c r="D429" s="248"/>
      <c r="E429" s="248"/>
      <c r="F429" s="248"/>
      <c r="G429" s="248"/>
      <c r="H429" s="248"/>
      <c r="I429" s="248"/>
      <c r="J429" s="248"/>
      <c r="K429" s="248"/>
      <c r="L429" s="248"/>
      <c r="AR429" s="426"/>
      <c r="AS429" s="426"/>
      <c r="AT429" s="248"/>
    </row>
    <row r="430" spans="1:46" ht="13.5">
      <c r="A430" s="248"/>
      <c r="B430" s="248"/>
      <c r="C430" s="248"/>
      <c r="D430" s="248"/>
      <c r="E430" s="248"/>
      <c r="F430" s="248"/>
      <c r="G430" s="248"/>
      <c r="H430" s="248"/>
      <c r="I430" s="248"/>
      <c r="J430" s="248"/>
      <c r="K430" s="248"/>
      <c r="L430" s="248"/>
      <c r="AR430" s="426"/>
      <c r="AS430" s="426"/>
      <c r="AT430" s="248"/>
    </row>
    <row r="431" spans="1:46" ht="13.5">
      <c r="A431" s="248"/>
      <c r="B431" s="248"/>
      <c r="C431" s="248"/>
      <c r="D431" s="248"/>
      <c r="E431" s="248"/>
      <c r="F431" s="248"/>
      <c r="G431" s="248"/>
      <c r="H431" s="248"/>
      <c r="I431" s="248"/>
      <c r="J431" s="248"/>
      <c r="K431" s="248"/>
      <c r="L431" s="248"/>
      <c r="AR431" s="426"/>
      <c r="AS431" s="426"/>
      <c r="AT431" s="248"/>
    </row>
    <row r="432" spans="1:46" ht="13.5">
      <c r="A432" s="248"/>
      <c r="B432" s="248"/>
      <c r="C432" s="248"/>
      <c r="D432" s="248"/>
      <c r="E432" s="248"/>
      <c r="F432" s="248"/>
      <c r="G432" s="248"/>
      <c r="H432" s="248"/>
      <c r="I432" s="248"/>
      <c r="J432" s="248"/>
      <c r="K432" s="248"/>
      <c r="L432" s="248"/>
      <c r="AR432" s="426"/>
      <c r="AS432" s="426"/>
      <c r="AT432" s="248"/>
    </row>
    <row r="433" spans="1:46" ht="13.5">
      <c r="A433" s="248"/>
      <c r="B433" s="248"/>
      <c r="C433" s="248"/>
      <c r="D433" s="248"/>
      <c r="E433" s="248"/>
      <c r="F433" s="248"/>
      <c r="G433" s="248"/>
      <c r="H433" s="248"/>
      <c r="I433" s="248"/>
      <c r="J433" s="248"/>
      <c r="K433" s="248"/>
      <c r="L433" s="248"/>
      <c r="AR433" s="426"/>
      <c r="AS433" s="426"/>
      <c r="AT433" s="248"/>
    </row>
    <row r="434" spans="1:46" ht="13.5">
      <c r="A434" s="248"/>
      <c r="B434" s="248"/>
      <c r="C434" s="248"/>
      <c r="D434" s="248"/>
      <c r="E434" s="248"/>
      <c r="F434" s="248"/>
      <c r="G434" s="248"/>
      <c r="H434" s="248"/>
      <c r="I434" s="248"/>
      <c r="J434" s="248"/>
      <c r="K434" s="248"/>
      <c r="L434" s="248"/>
      <c r="AR434" s="426"/>
      <c r="AS434" s="426"/>
      <c r="AT434" s="248"/>
    </row>
    <row r="435" spans="1:46" ht="13.5">
      <c r="A435" s="248"/>
      <c r="B435" s="248"/>
      <c r="C435" s="248"/>
      <c r="D435" s="248"/>
      <c r="E435" s="248"/>
      <c r="F435" s="248"/>
      <c r="G435" s="248"/>
      <c r="H435" s="248"/>
      <c r="I435" s="248"/>
      <c r="J435" s="248"/>
      <c r="K435" s="248"/>
      <c r="L435" s="248"/>
      <c r="AR435" s="426"/>
      <c r="AS435" s="426"/>
      <c r="AT435" s="248"/>
    </row>
    <row r="436" spans="1:46" ht="13.5">
      <c r="A436" s="248"/>
      <c r="B436" s="248"/>
      <c r="C436" s="248"/>
      <c r="D436" s="248"/>
      <c r="E436" s="248"/>
      <c r="F436" s="248"/>
      <c r="G436" s="248"/>
      <c r="H436" s="248"/>
      <c r="I436" s="248"/>
      <c r="J436" s="248"/>
      <c r="K436" s="248"/>
      <c r="L436" s="248"/>
      <c r="AR436" s="426"/>
      <c r="AS436" s="426"/>
      <c r="AT436" s="248"/>
    </row>
    <row r="437" spans="1:46" ht="13.5">
      <c r="A437" s="248"/>
      <c r="B437" s="248"/>
      <c r="C437" s="248"/>
      <c r="D437" s="248"/>
      <c r="E437" s="248"/>
      <c r="F437" s="248"/>
      <c r="G437" s="248"/>
      <c r="H437" s="248"/>
      <c r="I437" s="248"/>
      <c r="J437" s="248"/>
      <c r="K437" s="248"/>
      <c r="L437" s="248"/>
      <c r="AR437" s="426"/>
      <c r="AS437" s="426"/>
      <c r="AT437" s="248"/>
    </row>
    <row r="438" spans="1:46" ht="13.5">
      <c r="A438" s="248"/>
      <c r="B438" s="248"/>
      <c r="C438" s="248"/>
      <c r="D438" s="248"/>
      <c r="E438" s="248"/>
      <c r="F438" s="248"/>
      <c r="G438" s="248"/>
      <c r="H438" s="248"/>
      <c r="I438" s="248"/>
      <c r="J438" s="248"/>
      <c r="K438" s="248"/>
      <c r="L438" s="248"/>
      <c r="AR438" s="426"/>
      <c r="AS438" s="426"/>
      <c r="AT438" s="248"/>
    </row>
    <row r="439" spans="1:46" ht="13.5">
      <c r="A439" s="248"/>
      <c r="B439" s="248"/>
      <c r="C439" s="248"/>
      <c r="D439" s="248"/>
      <c r="E439" s="248"/>
      <c r="F439" s="248"/>
      <c r="G439" s="248"/>
      <c r="H439" s="248"/>
      <c r="I439" s="248"/>
      <c r="J439" s="248"/>
      <c r="K439" s="248"/>
      <c r="L439" s="248"/>
      <c r="AR439" s="426"/>
      <c r="AS439" s="426"/>
      <c r="AT439" s="248"/>
    </row>
    <row r="440" spans="1:46" ht="13.5">
      <c r="A440" s="248"/>
      <c r="B440" s="248"/>
      <c r="C440" s="248"/>
      <c r="D440" s="248"/>
      <c r="E440" s="248"/>
      <c r="F440" s="248"/>
      <c r="G440" s="248"/>
      <c r="H440" s="248"/>
      <c r="I440" s="248"/>
      <c r="J440" s="248"/>
      <c r="K440" s="248"/>
      <c r="L440" s="248"/>
      <c r="AR440" s="426"/>
      <c r="AS440" s="426"/>
      <c r="AT440" s="248"/>
    </row>
    <row r="441" spans="1:46" ht="13.5">
      <c r="A441" s="248"/>
      <c r="B441" s="248"/>
      <c r="C441" s="248"/>
      <c r="D441" s="248"/>
      <c r="E441" s="248"/>
      <c r="F441" s="248"/>
      <c r="G441" s="248"/>
      <c r="H441" s="248"/>
      <c r="I441" s="248"/>
      <c r="J441" s="248"/>
      <c r="K441" s="248"/>
      <c r="L441" s="248"/>
      <c r="AR441" s="426"/>
      <c r="AS441" s="426"/>
      <c r="AT441" s="248"/>
    </row>
    <row r="442" spans="1:46" ht="13.5">
      <c r="A442" s="248"/>
      <c r="B442" s="248"/>
      <c r="C442" s="248"/>
      <c r="D442" s="248"/>
      <c r="E442" s="248"/>
      <c r="F442" s="248"/>
      <c r="G442" s="248"/>
      <c r="H442" s="248"/>
      <c r="I442" s="248"/>
      <c r="J442" s="248"/>
      <c r="K442" s="248"/>
      <c r="L442" s="248"/>
      <c r="AR442" s="426"/>
      <c r="AS442" s="426"/>
      <c r="AT442" s="248"/>
    </row>
    <row r="443" spans="1:46" ht="13.5">
      <c r="A443" s="248"/>
      <c r="B443" s="248"/>
      <c r="C443" s="248"/>
      <c r="D443" s="248"/>
      <c r="E443" s="248"/>
      <c r="F443" s="248"/>
      <c r="G443" s="248"/>
      <c r="H443" s="248"/>
      <c r="I443" s="248"/>
      <c r="J443" s="248"/>
      <c r="K443" s="248"/>
      <c r="L443" s="248"/>
      <c r="AR443" s="426"/>
      <c r="AS443" s="426"/>
      <c r="AT443" s="248"/>
    </row>
    <row r="444" spans="1:46" ht="13.5">
      <c r="A444" s="248"/>
      <c r="B444" s="248"/>
      <c r="C444" s="248"/>
      <c r="D444" s="248"/>
      <c r="E444" s="248"/>
      <c r="F444" s="248"/>
      <c r="G444" s="248"/>
      <c r="H444" s="248"/>
      <c r="I444" s="248"/>
      <c r="J444" s="248"/>
      <c r="K444" s="248"/>
      <c r="L444" s="248"/>
      <c r="AR444" s="426"/>
      <c r="AS444" s="426"/>
      <c r="AT444" s="248"/>
    </row>
    <row r="445" spans="1:46" ht="13.5">
      <c r="A445" s="248"/>
      <c r="B445" s="248"/>
      <c r="C445" s="248"/>
      <c r="D445" s="248"/>
      <c r="E445" s="248"/>
      <c r="F445" s="248"/>
      <c r="G445" s="248"/>
      <c r="H445" s="248"/>
      <c r="I445" s="248"/>
      <c r="J445" s="248"/>
      <c r="K445" s="248"/>
      <c r="L445" s="248"/>
      <c r="AR445" s="426"/>
      <c r="AS445" s="426"/>
      <c r="AT445" s="248"/>
    </row>
    <row r="446" spans="1:46" ht="13.5">
      <c r="A446" s="248"/>
      <c r="B446" s="248"/>
      <c r="C446" s="248"/>
      <c r="D446" s="248"/>
      <c r="E446" s="248"/>
      <c r="F446" s="248"/>
      <c r="G446" s="248"/>
      <c r="H446" s="248"/>
      <c r="I446" s="248"/>
      <c r="J446" s="248"/>
      <c r="K446" s="248"/>
      <c r="L446" s="248"/>
      <c r="AR446" s="426"/>
      <c r="AS446" s="426"/>
      <c r="AT446" s="248"/>
    </row>
    <row r="447" spans="1:46" ht="13.5">
      <c r="A447" s="248"/>
      <c r="B447" s="248"/>
      <c r="C447" s="248"/>
      <c r="D447" s="248"/>
      <c r="E447" s="248"/>
      <c r="F447" s="248"/>
      <c r="G447" s="248"/>
      <c r="H447" s="248"/>
      <c r="I447" s="248"/>
      <c r="J447" s="248"/>
      <c r="K447" s="248"/>
      <c r="L447" s="248"/>
      <c r="AR447" s="426"/>
      <c r="AS447" s="426"/>
      <c r="AT447" s="248"/>
    </row>
    <row r="448" spans="1:46" ht="13.5">
      <c r="A448" s="248"/>
      <c r="B448" s="248"/>
      <c r="C448" s="248"/>
      <c r="D448" s="248"/>
      <c r="E448" s="248"/>
      <c r="F448" s="248"/>
      <c r="G448" s="248"/>
      <c r="H448" s="248"/>
      <c r="I448" s="248"/>
      <c r="J448" s="248"/>
      <c r="K448" s="248"/>
      <c r="L448" s="248"/>
      <c r="AR448" s="426"/>
      <c r="AS448" s="426"/>
      <c r="AT448" s="248"/>
    </row>
    <row r="449" spans="1:46" ht="13.5">
      <c r="A449" s="248"/>
      <c r="B449" s="248"/>
      <c r="C449" s="248"/>
      <c r="D449" s="248"/>
      <c r="E449" s="248"/>
      <c r="F449" s="248"/>
      <c r="G449" s="248"/>
      <c r="H449" s="248"/>
      <c r="I449" s="248"/>
      <c r="J449" s="248"/>
      <c r="K449" s="248"/>
      <c r="L449" s="248"/>
      <c r="AR449" s="426"/>
      <c r="AS449" s="426"/>
      <c r="AT449" s="248"/>
    </row>
    <row r="450" spans="1:46" ht="13.5">
      <c r="A450" s="248"/>
      <c r="B450" s="248"/>
      <c r="C450" s="248"/>
      <c r="D450" s="248"/>
      <c r="E450" s="248"/>
      <c r="F450" s="248"/>
      <c r="G450" s="248"/>
      <c r="H450" s="248"/>
      <c r="I450" s="248"/>
      <c r="J450" s="248"/>
      <c r="K450" s="248"/>
      <c r="L450" s="248"/>
      <c r="AR450" s="426"/>
      <c r="AS450" s="426"/>
      <c r="AT450" s="248"/>
    </row>
    <row r="451" spans="1:46" ht="13.5">
      <c r="A451" s="248"/>
      <c r="B451" s="248"/>
      <c r="C451" s="248"/>
      <c r="D451" s="248"/>
      <c r="E451" s="248"/>
      <c r="F451" s="248"/>
      <c r="G451" s="248"/>
      <c r="H451" s="248"/>
      <c r="I451" s="248"/>
      <c r="J451" s="248"/>
      <c r="K451" s="248"/>
      <c r="L451" s="248"/>
      <c r="AR451" s="426"/>
      <c r="AS451" s="426"/>
      <c r="AT451" s="248"/>
    </row>
    <row r="452" spans="1:46" ht="13.5">
      <c r="A452" s="248"/>
      <c r="B452" s="248"/>
      <c r="C452" s="248"/>
      <c r="D452" s="248"/>
      <c r="E452" s="248"/>
      <c r="F452" s="248"/>
      <c r="G452" s="248"/>
      <c r="H452" s="248"/>
      <c r="I452" s="248"/>
      <c r="J452" s="248"/>
      <c r="K452" s="248"/>
      <c r="L452" s="248"/>
      <c r="AR452" s="426"/>
      <c r="AS452" s="426"/>
      <c r="AT452" s="248"/>
    </row>
    <row r="453" spans="1:46" ht="13.5">
      <c r="A453" s="248"/>
      <c r="B453" s="248"/>
      <c r="C453" s="248"/>
      <c r="D453" s="248"/>
      <c r="E453" s="248"/>
      <c r="F453" s="248"/>
      <c r="G453" s="248"/>
      <c r="H453" s="248"/>
      <c r="I453" s="248"/>
      <c r="J453" s="248"/>
      <c r="K453" s="248"/>
      <c r="L453" s="248"/>
      <c r="AR453" s="426"/>
      <c r="AS453" s="426"/>
      <c r="AT453" s="248"/>
    </row>
    <row r="454" spans="1:46" ht="13.5">
      <c r="A454" s="248"/>
      <c r="B454" s="248"/>
      <c r="C454" s="248"/>
      <c r="D454" s="248"/>
      <c r="E454" s="248"/>
      <c r="F454" s="248"/>
      <c r="G454" s="248"/>
      <c r="H454" s="248"/>
      <c r="I454" s="248"/>
      <c r="J454" s="248"/>
      <c r="K454" s="248"/>
      <c r="L454" s="248"/>
      <c r="AR454" s="426"/>
      <c r="AS454" s="426"/>
      <c r="AT454" s="248"/>
    </row>
    <row r="455" spans="1:46" ht="13.5">
      <c r="A455" s="248"/>
      <c r="B455" s="248"/>
      <c r="C455" s="248"/>
      <c r="D455" s="248"/>
      <c r="E455" s="248"/>
      <c r="F455" s="248"/>
      <c r="G455" s="248"/>
      <c r="H455" s="248"/>
      <c r="I455" s="248"/>
      <c r="J455" s="248"/>
      <c r="K455" s="248"/>
      <c r="L455" s="248"/>
      <c r="AR455" s="426"/>
      <c r="AS455" s="426"/>
      <c r="AT455" s="248"/>
    </row>
    <row r="456" spans="1:46" ht="13.5">
      <c r="A456" s="248"/>
      <c r="B456" s="248"/>
      <c r="C456" s="248"/>
      <c r="D456" s="248"/>
      <c r="E456" s="248"/>
      <c r="F456" s="248"/>
      <c r="G456" s="248"/>
      <c r="H456" s="248"/>
      <c r="I456" s="248"/>
      <c r="J456" s="248"/>
      <c r="K456" s="248"/>
      <c r="L456" s="248"/>
      <c r="AR456" s="426"/>
      <c r="AS456" s="426"/>
      <c r="AT456" s="248"/>
    </row>
    <row r="457" spans="1:46" ht="13.5">
      <c r="A457" s="248"/>
      <c r="B457" s="248"/>
      <c r="C457" s="248"/>
      <c r="D457" s="248"/>
      <c r="E457" s="248"/>
      <c r="F457" s="248"/>
      <c r="G457" s="248"/>
      <c r="H457" s="248"/>
      <c r="I457" s="248"/>
      <c r="J457" s="248"/>
      <c r="K457" s="248"/>
      <c r="L457" s="248"/>
      <c r="AR457" s="426"/>
      <c r="AS457" s="426"/>
      <c r="AT457" s="248"/>
    </row>
    <row r="458" spans="1:46" ht="13.5">
      <c r="A458" s="248"/>
      <c r="B458" s="248"/>
      <c r="C458" s="248"/>
      <c r="D458" s="248"/>
      <c r="E458" s="248"/>
      <c r="F458" s="248"/>
      <c r="G458" s="248"/>
      <c r="H458" s="248"/>
      <c r="I458" s="248"/>
      <c r="J458" s="248"/>
      <c r="K458" s="248"/>
      <c r="L458" s="248"/>
      <c r="AR458" s="426"/>
      <c r="AS458" s="426"/>
      <c r="AT458" s="248"/>
    </row>
    <row r="459" spans="1:46" ht="13.5">
      <c r="A459" s="248"/>
      <c r="B459" s="248"/>
      <c r="C459" s="248"/>
      <c r="D459" s="248"/>
      <c r="E459" s="248"/>
      <c r="F459" s="248"/>
      <c r="G459" s="248"/>
      <c r="H459" s="248"/>
      <c r="I459" s="248"/>
      <c r="J459" s="248"/>
      <c r="K459" s="248"/>
      <c r="L459" s="248"/>
      <c r="AR459" s="426"/>
      <c r="AS459" s="426"/>
      <c r="AT459" s="248"/>
    </row>
    <row r="460" spans="1:46" ht="13.5">
      <c r="A460" s="248"/>
      <c r="B460" s="248"/>
      <c r="C460" s="248"/>
      <c r="D460" s="248"/>
      <c r="E460" s="248"/>
      <c r="F460" s="248"/>
      <c r="G460" s="248"/>
      <c r="H460" s="248"/>
      <c r="I460" s="248"/>
      <c r="J460" s="248"/>
      <c r="K460" s="248"/>
      <c r="L460" s="248"/>
      <c r="AR460" s="426"/>
      <c r="AS460" s="426"/>
      <c r="AT460" s="248"/>
    </row>
    <row r="461" spans="1:46" ht="13.5">
      <c r="A461" s="248"/>
      <c r="B461" s="248"/>
      <c r="C461" s="248"/>
      <c r="D461" s="248"/>
      <c r="E461" s="248"/>
      <c r="F461" s="248"/>
      <c r="G461" s="248"/>
      <c r="H461" s="248"/>
      <c r="I461" s="248"/>
      <c r="J461" s="248"/>
      <c r="K461" s="248"/>
      <c r="L461" s="248"/>
      <c r="AR461" s="426"/>
      <c r="AS461" s="426"/>
      <c r="AT461" s="248"/>
    </row>
    <row r="462" spans="1:46" ht="13.5">
      <c r="A462" s="248"/>
      <c r="B462" s="248"/>
      <c r="C462" s="248"/>
      <c r="D462" s="248"/>
      <c r="E462" s="248"/>
      <c r="F462" s="248"/>
      <c r="G462" s="248"/>
      <c r="H462" s="248"/>
      <c r="I462" s="248"/>
      <c r="J462" s="248"/>
      <c r="K462" s="248"/>
      <c r="L462" s="248"/>
      <c r="AR462" s="426"/>
      <c r="AS462" s="426"/>
      <c r="AT462" s="248"/>
    </row>
    <row r="463" spans="1:46" ht="13.5">
      <c r="A463" s="248"/>
      <c r="B463" s="248"/>
      <c r="C463" s="248"/>
      <c r="D463" s="248"/>
      <c r="E463" s="248"/>
      <c r="F463" s="248"/>
      <c r="G463" s="248"/>
      <c r="H463" s="248"/>
      <c r="I463" s="248"/>
      <c r="J463" s="248"/>
      <c r="K463" s="248"/>
      <c r="L463" s="248"/>
      <c r="AR463" s="426"/>
      <c r="AS463" s="426"/>
      <c r="AT463" s="248"/>
    </row>
    <row r="464" spans="1:46" ht="13.5">
      <c r="A464" s="248"/>
      <c r="B464" s="248"/>
      <c r="C464" s="248"/>
      <c r="D464" s="248"/>
      <c r="E464" s="248"/>
      <c r="F464" s="248"/>
      <c r="G464" s="248"/>
      <c r="H464" s="248"/>
      <c r="I464" s="248"/>
      <c r="J464" s="248"/>
      <c r="K464" s="248"/>
      <c r="L464" s="248"/>
      <c r="AR464" s="426"/>
      <c r="AS464" s="426"/>
      <c r="AT464" s="248"/>
    </row>
    <row r="465" spans="1:46" ht="13.5">
      <c r="A465" s="248"/>
      <c r="B465" s="248"/>
      <c r="C465" s="248"/>
      <c r="D465" s="248"/>
      <c r="E465" s="248"/>
      <c r="F465" s="248"/>
      <c r="G465" s="248"/>
      <c r="H465" s="248"/>
      <c r="I465" s="248"/>
      <c r="J465" s="248"/>
      <c r="K465" s="248"/>
      <c r="L465" s="248"/>
      <c r="AR465" s="426"/>
      <c r="AS465" s="426"/>
      <c r="AT465" s="248"/>
    </row>
    <row r="466" spans="1:46" ht="13.5">
      <c r="A466" s="248"/>
      <c r="B466" s="248"/>
      <c r="C466" s="248"/>
      <c r="D466" s="248"/>
      <c r="E466" s="248"/>
      <c r="F466" s="248"/>
      <c r="G466" s="248"/>
      <c r="H466" s="248"/>
      <c r="I466" s="248"/>
      <c r="J466" s="248"/>
      <c r="K466" s="248"/>
      <c r="L466" s="248"/>
      <c r="AR466" s="426"/>
      <c r="AS466" s="426"/>
      <c r="AT466" s="248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6"/>
      <c r="AS467" s="426"/>
      <c r="AT467" s="248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6"/>
      <c r="AS468" s="426"/>
      <c r="AT468" s="248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6"/>
      <c r="AS469" s="426"/>
      <c r="AT469" s="248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6"/>
      <c r="AS470" s="426"/>
      <c r="AT470" s="248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6"/>
      <c r="AS471" s="426"/>
      <c r="AT471" s="248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6"/>
      <c r="AS472" s="426"/>
      <c r="AT472" s="248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6"/>
      <c r="AS473" s="426"/>
      <c r="AT473" s="248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6"/>
      <c r="AS474" s="426"/>
      <c r="AT474" s="248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6"/>
      <c r="AS475" s="426"/>
      <c r="AT475" s="248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6"/>
      <c r="AS476" s="426"/>
      <c r="AT476" s="248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6"/>
      <c r="AS477" s="426"/>
      <c r="AT477" s="248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6"/>
      <c r="AS478" s="426"/>
      <c r="AT478" s="248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6"/>
      <c r="AS479" s="426"/>
      <c r="AT479" s="248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6"/>
      <c r="AS480" s="426"/>
      <c r="AT480" s="248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6"/>
      <c r="AS481" s="426"/>
      <c r="AT481" s="248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6"/>
      <c r="AS482" s="426"/>
      <c r="AT482" s="248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6"/>
      <c r="AS483" s="426"/>
      <c r="AT483" s="248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6"/>
      <c r="AS484" s="426"/>
      <c r="AT484" s="248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6"/>
      <c r="AS485" s="426"/>
      <c r="AT485" s="248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6"/>
      <c r="AS486" s="426"/>
      <c r="AT486" s="248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6"/>
      <c r="AS487" s="426"/>
      <c r="AT487" s="248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6"/>
      <c r="AS488" s="426"/>
      <c r="AT488" s="248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6"/>
      <c r="AS489" s="426"/>
      <c r="AT489" s="248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6"/>
      <c r="AS490" s="426"/>
      <c r="AT490" s="248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6"/>
      <c r="AS491" s="426"/>
      <c r="AT491" s="248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6"/>
      <c r="AS492" s="426"/>
      <c r="AT492" s="248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6"/>
      <c r="AS493" s="426"/>
      <c r="AT493" s="248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6"/>
      <c r="AS494" s="426"/>
      <c r="AT494" s="248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6"/>
      <c r="AS495" s="426"/>
      <c r="AT495" s="248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6"/>
      <c r="AS496" s="426"/>
      <c r="AT496" s="248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6"/>
      <c r="AS497" s="426"/>
      <c r="AT497" s="248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6"/>
      <c r="AS498" s="426"/>
      <c r="AT498" s="248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6"/>
      <c r="AS499" s="426"/>
      <c r="AT499" s="248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6"/>
      <c r="AS500" s="426"/>
      <c r="AT500" s="248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6"/>
      <c r="AS501" s="426"/>
      <c r="AT501" s="248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6"/>
      <c r="AS502" s="426"/>
      <c r="AT502" s="248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6"/>
      <c r="AS503" s="426"/>
      <c r="AT503" s="248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6"/>
      <c r="AS504" s="426"/>
      <c r="AT504" s="248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6"/>
      <c r="AS505" s="426"/>
      <c r="AT505" s="248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6"/>
      <c r="AS506" s="426"/>
      <c r="AT506" s="248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6"/>
      <c r="AS507" s="426"/>
      <c r="AT507" s="248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6"/>
      <c r="AS508" s="426"/>
      <c r="AT508" s="248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6"/>
      <c r="AS509" s="426"/>
      <c r="AT509" s="248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6"/>
      <c r="AS510" s="426"/>
      <c r="AT510" s="248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6"/>
      <c r="AS511" s="426"/>
      <c r="AT511" s="248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6"/>
      <c r="AS512" s="426"/>
      <c r="AT512" s="248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6"/>
      <c r="AS513" s="426"/>
      <c r="AT513" s="248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6"/>
      <c r="AS514" s="426"/>
      <c r="AT514" s="248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6"/>
      <c r="AS515" s="426"/>
      <c r="AT515" s="248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6"/>
      <c r="AS516" s="426"/>
      <c r="AT516" s="248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6"/>
      <c r="AS517" s="426"/>
      <c r="AT517" s="248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6"/>
      <c r="AS518" s="426"/>
      <c r="AT518" s="248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6"/>
      <c r="AS519" s="426"/>
      <c r="AT519" s="248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6"/>
      <c r="AS520" s="426"/>
      <c r="AT520" s="248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6"/>
      <c r="AS521" s="426"/>
      <c r="AT521" s="248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6"/>
      <c r="AS522" s="426"/>
      <c r="AT522" s="248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6"/>
      <c r="AS523" s="426"/>
      <c r="AT523" s="248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6"/>
      <c r="AS524" s="426"/>
      <c r="AT524" s="248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6"/>
      <c r="AS525" s="426"/>
      <c r="AT525" s="248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6"/>
      <c r="AS526" s="426"/>
      <c r="AT526" s="248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6"/>
      <c r="AS527" s="426"/>
      <c r="AT527" s="248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6"/>
      <c r="AS528" s="426"/>
      <c r="AT528" s="248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6"/>
      <c r="AS529" s="426"/>
      <c r="AT529" s="248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6"/>
      <c r="AS530" s="426"/>
      <c r="AT530" s="248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6"/>
      <c r="AS531" s="426"/>
      <c r="AT531" s="248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6"/>
      <c r="AS532" s="426"/>
      <c r="AT532" s="248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6"/>
      <c r="AS533" s="426"/>
      <c r="AT533" s="248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6"/>
      <c r="AS534" s="426"/>
      <c r="AT534" s="248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6"/>
      <c r="AS535" s="426"/>
      <c r="AT535" s="248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6"/>
      <c r="AS536" s="426"/>
      <c r="AT536" s="248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6"/>
      <c r="AS537" s="426"/>
      <c r="AT537" s="248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6"/>
      <c r="AS538" s="426"/>
      <c r="AT538" s="248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6"/>
      <c r="AS539" s="426"/>
      <c r="AT539" s="248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6"/>
      <c r="AS540" s="426"/>
      <c r="AT540" s="248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6"/>
      <c r="AS541" s="426"/>
      <c r="AT541" s="248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6"/>
      <c r="AS542" s="426"/>
      <c r="AT542" s="248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6"/>
      <c r="AS543" s="426"/>
      <c r="AT543" s="248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6"/>
      <c r="AS544" s="426"/>
      <c r="AT544" s="248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6"/>
      <c r="AS545" s="426"/>
      <c r="AT545" s="248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6"/>
      <c r="AS546" s="426"/>
      <c r="AT546" s="248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6"/>
      <c r="AS547" s="426"/>
      <c r="AT547" s="248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6"/>
      <c r="AS548" s="426"/>
      <c r="AT548" s="248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6"/>
      <c r="AS549" s="426"/>
      <c r="AT549" s="248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6"/>
      <c r="AS550" s="426"/>
      <c r="AT550" s="248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6"/>
      <c r="AS551" s="426"/>
      <c r="AT551" s="248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6"/>
      <c r="AS552" s="426"/>
      <c r="AT552" s="248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6"/>
      <c r="AS553" s="426"/>
      <c r="AT553" s="248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6"/>
      <c r="AS554" s="426"/>
      <c r="AT554" s="248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6"/>
      <c r="AS555" s="426"/>
      <c r="AT555" s="248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6"/>
      <c r="AS556" s="426"/>
      <c r="AT556" s="248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6"/>
      <c r="AS557" s="426"/>
      <c r="AT557" s="248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6"/>
      <c r="AS558" s="426"/>
      <c r="AT558" s="248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6"/>
      <c r="AS559" s="426"/>
      <c r="AT559" s="248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6"/>
      <c r="AS560" s="426"/>
      <c r="AT560" s="248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6"/>
      <c r="AS561" s="426"/>
      <c r="AT561" s="248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6"/>
      <c r="AS562" s="426"/>
      <c r="AT562" s="248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6"/>
      <c r="AS563" s="426"/>
      <c r="AT563" s="248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6"/>
      <c r="AS564" s="426"/>
      <c r="AT564" s="248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6"/>
      <c r="AS565" s="426"/>
      <c r="AT565" s="248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6"/>
      <c r="AS566" s="426"/>
      <c r="AT566" s="248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6"/>
      <c r="AS567" s="426"/>
      <c r="AT567" s="248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6"/>
      <c r="AS568" s="426"/>
      <c r="AT568" s="248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6"/>
      <c r="AS569" s="426"/>
      <c r="AT569" s="248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6"/>
      <c r="AS570" s="426"/>
      <c r="AT570" s="248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6"/>
      <c r="AS571" s="426"/>
      <c r="AT571" s="248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6"/>
      <c r="AS572" s="426"/>
      <c r="AT572" s="248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6"/>
      <c r="AS573" s="426"/>
      <c r="AT573" s="248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6"/>
      <c r="AS574" s="426"/>
      <c r="AT574" s="248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6"/>
      <c r="AS575" s="426"/>
      <c r="AT575" s="248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6"/>
      <c r="AS576" s="426"/>
      <c r="AT576" s="248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6"/>
      <c r="AS577" s="426"/>
      <c r="AT577" s="248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6"/>
      <c r="AS578" s="426"/>
      <c r="AT578" s="248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6"/>
      <c r="AS579" s="426"/>
      <c r="AT579" s="248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6"/>
      <c r="AS580" s="426"/>
      <c r="AT580" s="248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6"/>
      <c r="AS581" s="426"/>
      <c r="AT581" s="248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6"/>
      <c r="AS582" s="426"/>
      <c r="AT582" s="248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6"/>
      <c r="AS583" s="426"/>
      <c r="AT583" s="248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6"/>
      <c r="AS584" s="426"/>
      <c r="AT584" s="248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6"/>
      <c r="AS585" s="426"/>
      <c r="AT585" s="248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6"/>
      <c r="AS586" s="426"/>
      <c r="AT586" s="248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6"/>
      <c r="AS587" s="426"/>
      <c r="AT587" s="248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6"/>
      <c r="AS588" s="426"/>
      <c r="AT588" s="248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6"/>
      <c r="AS589" s="426"/>
      <c r="AT589" s="248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6"/>
      <c r="AS590" s="426"/>
      <c r="AT590" s="248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6"/>
      <c r="AS591" s="426"/>
      <c r="AT591" s="248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6"/>
      <c r="AS592" s="426"/>
      <c r="AT592" s="248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6"/>
      <c r="AS593" s="426"/>
      <c r="AT593" s="248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6"/>
      <c r="AS594" s="426"/>
      <c r="AT594" s="248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6"/>
      <c r="AS595" s="426"/>
      <c r="AT595" s="248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6"/>
      <c r="AS596" s="426"/>
      <c r="AT596" s="248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6"/>
      <c r="AS597" s="426"/>
      <c r="AT597" s="248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6"/>
      <c r="AS598" s="426"/>
      <c r="AT598" s="248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6"/>
      <c r="AS599" s="426"/>
      <c r="AT599" s="248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6"/>
      <c r="AS600" s="426"/>
      <c r="AT600" s="248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6"/>
      <c r="AS601" s="426"/>
      <c r="AT601" s="248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6"/>
      <c r="AS602" s="426"/>
      <c r="AT602" s="248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6"/>
      <c r="AS603" s="426"/>
      <c r="AT603" s="248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6"/>
      <c r="AS604" s="426"/>
      <c r="AT604" s="248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6"/>
      <c r="AS605" s="426"/>
      <c r="AT605" s="248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6"/>
      <c r="AS606" s="426"/>
      <c r="AT606" s="248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6"/>
      <c r="AS607" s="426"/>
      <c r="AT607" s="248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6"/>
      <c r="AS608" s="426"/>
      <c r="AT608" s="248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6"/>
      <c r="AS609" s="426"/>
      <c r="AT609" s="248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6"/>
      <c r="AS610" s="426"/>
      <c r="AT610" s="248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6"/>
      <c r="AS611" s="426"/>
      <c r="AT611" s="248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6"/>
      <c r="AS612" s="426"/>
      <c r="AT612" s="248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6"/>
      <c r="AS613" s="426"/>
      <c r="AT613" s="248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6"/>
      <c r="AS614" s="426"/>
      <c r="AT614" s="248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6"/>
      <c r="AS615" s="426"/>
      <c r="AT615" s="248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6"/>
      <c r="AS616" s="426"/>
      <c r="AT616" s="248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6"/>
      <c r="AS617" s="426"/>
      <c r="AT617" s="248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6"/>
      <c r="AS618" s="426"/>
      <c r="AT618" s="248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6"/>
      <c r="AS619" s="426"/>
      <c r="AT619" s="248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6"/>
      <c r="AS620" s="426"/>
      <c r="AT620" s="248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6"/>
      <c r="AS621" s="426"/>
      <c r="AT621" s="248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6"/>
      <c r="AS622" s="426"/>
      <c r="AT622" s="248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6"/>
      <c r="AS623" s="426"/>
      <c r="AT623" s="248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6"/>
      <c r="AS624" s="426"/>
      <c r="AT624" s="248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6"/>
      <c r="AS625" s="426"/>
      <c r="AT625" s="248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6"/>
      <c r="AS626" s="426"/>
      <c r="AT626" s="248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6"/>
      <c r="AS627" s="426"/>
      <c r="AT627" s="248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6"/>
      <c r="AS628" s="426"/>
      <c r="AT628" s="248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6"/>
      <c r="AS629" s="426"/>
      <c r="AT629" s="248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6"/>
      <c r="AS630" s="426"/>
      <c r="AT630" s="248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6"/>
      <c r="AS631" s="426"/>
      <c r="AT631" s="248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6"/>
      <c r="AS632" s="426"/>
      <c r="AT632" s="248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6"/>
      <c r="AS633" s="426"/>
      <c r="AT633" s="248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6"/>
      <c r="AS634" s="426"/>
      <c r="AT634" s="248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6"/>
      <c r="AS635" s="426"/>
      <c r="AT635" s="248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6"/>
      <c r="AS636" s="426"/>
      <c r="AT636" s="248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6"/>
      <c r="AS637" s="426"/>
      <c r="AT637" s="248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6"/>
      <c r="AS638" s="426"/>
      <c r="AT638" s="248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6"/>
      <c r="AS639" s="426"/>
      <c r="AT639" s="248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6"/>
      <c r="AS640" s="426"/>
      <c r="AT640" s="248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6"/>
      <c r="AS641" s="426"/>
      <c r="AT641" s="248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6"/>
      <c r="AS642" s="426"/>
      <c r="AT642" s="248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6"/>
      <c r="AS643" s="426"/>
      <c r="AT643" s="248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6"/>
      <c r="AS644" s="426"/>
      <c r="AT644" s="248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6"/>
      <c r="AS645" s="426"/>
      <c r="AT645" s="248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6"/>
      <c r="AS646" s="426"/>
      <c r="AT646" s="248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6"/>
      <c r="AS647" s="426"/>
      <c r="AT647" s="248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6"/>
      <c r="AS648" s="426"/>
      <c r="AT648" s="248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6"/>
      <c r="AS649" s="426"/>
      <c r="AT649" s="248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6"/>
      <c r="AS650" s="426"/>
      <c r="AT650" s="248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6"/>
      <c r="AS651" s="426"/>
      <c r="AT651" s="248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6"/>
      <c r="AS652" s="426"/>
      <c r="AT652" s="248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6"/>
      <c r="AS653" s="426"/>
      <c r="AT653" s="248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6"/>
      <c r="AS654" s="426"/>
      <c r="AT654" s="248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6"/>
      <c r="AS655" s="426"/>
      <c r="AT655" s="248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6"/>
      <c r="AS656" s="426"/>
      <c r="AT656" s="248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6"/>
      <c r="AS657" s="426"/>
      <c r="AT657" s="248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6"/>
      <c r="AS658" s="426"/>
      <c r="AT658" s="248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6"/>
      <c r="AS659" s="426"/>
      <c r="AT659" s="248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6"/>
      <c r="AS660" s="426"/>
      <c r="AT660" s="248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6"/>
      <c r="AS661" s="426"/>
      <c r="AT661" s="248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6"/>
      <c r="AS662" s="426"/>
      <c r="AT662" s="248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6"/>
      <c r="AS663" s="426"/>
      <c r="AT663" s="248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6"/>
      <c r="AS664" s="426"/>
      <c r="AT664" s="248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6"/>
      <c r="AS665" s="426"/>
      <c r="AT665" s="248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6"/>
      <c r="AS666" s="426"/>
      <c r="AT666" s="248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6"/>
      <c r="AS667" s="426"/>
      <c r="AT667" s="248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6"/>
      <c r="AS668" s="426"/>
      <c r="AT668" s="248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6"/>
      <c r="AS669" s="426"/>
      <c r="AT669" s="248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6"/>
      <c r="AS670" s="426"/>
      <c r="AT670" s="248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6"/>
      <c r="AS671" s="426"/>
      <c r="AT671" s="248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6"/>
      <c r="AS672" s="426"/>
      <c r="AT672" s="248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6"/>
      <c r="AS673" s="426"/>
      <c r="AT673" s="248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6"/>
      <c r="AS674" s="426"/>
      <c r="AT674" s="248"/>
    </row>
    <row r="675" spans="44:46" ht="13.5">
      <c r="AR675" s="426"/>
      <c r="AS675" s="426"/>
      <c r="AT675" s="248"/>
    </row>
    <row r="676" spans="44:46" ht="13.5">
      <c r="AR676" s="426"/>
      <c r="AS676" s="426"/>
      <c r="AT676" s="248"/>
    </row>
    <row r="677" spans="44:46" ht="13.5">
      <c r="AR677" s="426"/>
      <c r="AS677" s="426"/>
      <c r="AT677" s="248"/>
    </row>
    <row r="678" spans="44:46" ht="13.5">
      <c r="AR678" s="426"/>
      <c r="AS678" s="426"/>
      <c r="AT678" s="248"/>
    </row>
    <row r="679" spans="44:46" ht="13.5">
      <c r="AR679" s="426"/>
      <c r="AS679" s="426"/>
      <c r="AT679" s="248"/>
    </row>
    <row r="680" spans="44:46" ht="13.5">
      <c r="AR680" s="426"/>
      <c r="AS680" s="426"/>
      <c r="AT680" s="248"/>
    </row>
    <row r="681" spans="44:46" ht="13.5">
      <c r="AR681" s="426"/>
      <c r="AS681" s="426"/>
      <c r="AT681" s="248"/>
    </row>
    <row r="682" spans="44:46" ht="13.5">
      <c r="AR682" s="426"/>
      <c r="AS682" s="426"/>
      <c r="AT682" s="248"/>
    </row>
    <row r="683" spans="44:46" ht="13.5">
      <c r="AR683" s="426"/>
      <c r="AS683" s="426"/>
      <c r="AT683" s="248"/>
    </row>
    <row r="684" spans="44:46" ht="13.5">
      <c r="AR684" s="426"/>
      <c r="AS684" s="426"/>
      <c r="AT684" s="248"/>
    </row>
    <row r="685" spans="44:46" ht="13.5">
      <c r="AR685" s="426"/>
      <c r="AS685" s="426"/>
      <c r="AT685" s="248"/>
    </row>
    <row r="686" spans="44:46" ht="13.5">
      <c r="AR686" s="426"/>
      <c r="AS686" s="426"/>
      <c r="AT686" s="248"/>
    </row>
    <row r="687" spans="44:46" ht="13.5">
      <c r="AR687" s="426"/>
      <c r="AS687" s="426"/>
      <c r="AT687" s="248"/>
    </row>
    <row r="688" spans="44:46" ht="13.5">
      <c r="AR688" s="426"/>
      <c r="AS688" s="426"/>
      <c r="AT688" s="248"/>
    </row>
    <row r="689" spans="44:46" ht="13.5">
      <c r="AR689" s="426"/>
      <c r="AS689" s="426"/>
      <c r="AT689" s="248"/>
    </row>
    <row r="690" spans="44:46" ht="13.5">
      <c r="AR690" s="426"/>
      <c r="AS690" s="426"/>
      <c r="AT690" s="248"/>
    </row>
    <row r="691" spans="44:46" ht="13.5">
      <c r="AR691" s="426"/>
      <c r="AS691" s="426"/>
      <c r="AT691" s="248"/>
    </row>
    <row r="692" spans="44:46" ht="13.5">
      <c r="AR692" s="426"/>
      <c r="AS692" s="426"/>
      <c r="AT692" s="248"/>
    </row>
    <row r="693" spans="44:46" ht="13.5">
      <c r="AR693" s="426"/>
      <c r="AS693" s="426"/>
      <c r="AT693" s="248"/>
    </row>
    <row r="694" spans="44:46" ht="13.5">
      <c r="AR694" s="426"/>
      <c r="AS694" s="426"/>
      <c r="AT694" s="248"/>
    </row>
    <row r="695" spans="44:46" ht="13.5">
      <c r="AR695" s="426"/>
      <c r="AS695" s="426"/>
      <c r="AT695" s="248"/>
    </row>
    <row r="696" spans="44:46" ht="13.5">
      <c r="AR696" s="426"/>
      <c r="AS696" s="426"/>
      <c r="AT696" s="248"/>
    </row>
    <row r="697" spans="44:46" ht="13.5">
      <c r="AR697" s="426"/>
      <c r="AS697" s="426"/>
      <c r="AT697" s="248"/>
    </row>
    <row r="698" spans="44:46" ht="13.5">
      <c r="AR698" s="426"/>
      <c r="AS698" s="426"/>
      <c r="AT698" s="248"/>
    </row>
    <row r="699" spans="44:46" ht="13.5">
      <c r="AR699" s="426"/>
      <c r="AS699" s="426"/>
      <c r="AT699" s="248"/>
    </row>
    <row r="700" spans="44:46" ht="13.5">
      <c r="AR700" s="426"/>
      <c r="AS700" s="426"/>
      <c r="AT700" s="248"/>
    </row>
    <row r="701" spans="44:46" ht="13.5">
      <c r="AR701" s="426"/>
      <c r="AS701" s="426"/>
      <c r="AT701" s="248"/>
    </row>
    <row r="702" spans="44:46" ht="13.5">
      <c r="AR702" s="426"/>
      <c r="AS702" s="426"/>
      <c r="AT702" s="248"/>
    </row>
    <row r="703" spans="44:46" ht="13.5">
      <c r="AR703" s="426"/>
      <c r="AS703" s="426"/>
      <c r="AT703" s="248"/>
    </row>
    <row r="704" spans="44:46" ht="13.5">
      <c r="AR704" s="426"/>
      <c r="AS704" s="426"/>
      <c r="AT704" s="248"/>
    </row>
    <row r="705" spans="44:46" ht="13.5">
      <c r="AR705" s="426"/>
      <c r="AS705" s="426"/>
      <c r="AT705" s="248"/>
    </row>
    <row r="706" spans="44:46" ht="13.5">
      <c r="AR706" s="426"/>
      <c r="AS706" s="426"/>
      <c r="AT706" s="248"/>
    </row>
    <row r="707" spans="44:46" ht="13.5">
      <c r="AR707" s="426"/>
      <c r="AS707" s="426"/>
      <c r="AT707" s="248"/>
    </row>
    <row r="708" spans="44:46" ht="13.5">
      <c r="AR708" s="426"/>
      <c r="AS708" s="426"/>
      <c r="AT708" s="248"/>
    </row>
    <row r="709" spans="44:46" ht="13.5">
      <c r="AR709" s="426"/>
      <c r="AS709" s="426"/>
      <c r="AT709" s="248"/>
    </row>
    <row r="710" spans="44:46" ht="13.5">
      <c r="AR710" s="426"/>
      <c r="AS710" s="426"/>
      <c r="AT710" s="248"/>
    </row>
    <row r="711" spans="44:46" ht="13.5">
      <c r="AR711" s="426"/>
      <c r="AS711" s="426"/>
      <c r="AT711" s="248"/>
    </row>
    <row r="712" spans="44:46" ht="13.5">
      <c r="AR712" s="426"/>
      <c r="AS712" s="426"/>
      <c r="AT712" s="248"/>
    </row>
    <row r="713" spans="44:46" ht="13.5">
      <c r="AR713" s="426"/>
      <c r="AS713" s="426"/>
      <c r="AT713" s="248"/>
    </row>
    <row r="714" spans="44:46" ht="13.5">
      <c r="AR714" s="426"/>
      <c r="AS714" s="426"/>
      <c r="AT714" s="248"/>
    </row>
    <row r="715" spans="44:46" ht="13.5">
      <c r="AR715" s="426"/>
      <c r="AS715" s="426"/>
      <c r="AT715" s="248"/>
    </row>
    <row r="716" spans="44:46" ht="13.5">
      <c r="AR716" s="426"/>
      <c r="AS716" s="426"/>
      <c r="AT716" s="248"/>
    </row>
    <row r="717" spans="44:46" ht="13.5">
      <c r="AR717" s="426"/>
      <c r="AS717" s="426"/>
      <c r="AT717" s="248"/>
    </row>
    <row r="718" spans="44:46" ht="13.5">
      <c r="AR718" s="426"/>
      <c r="AS718" s="426"/>
      <c r="AT718" s="248"/>
    </row>
    <row r="719" spans="44:46" ht="13.5">
      <c r="AR719" s="426"/>
      <c r="AS719" s="426"/>
      <c r="AT719" s="248"/>
    </row>
    <row r="720" spans="44:46" ht="13.5">
      <c r="AR720" s="426"/>
      <c r="AS720" s="426"/>
      <c r="AT720" s="248"/>
    </row>
    <row r="721" spans="44:46" ht="13.5">
      <c r="AR721" s="426"/>
      <c r="AS721" s="426"/>
      <c r="AT721" s="248"/>
    </row>
    <row r="722" spans="44:46" ht="13.5">
      <c r="AR722" s="426"/>
      <c r="AS722" s="426"/>
      <c r="AT722" s="248"/>
    </row>
    <row r="723" spans="44:46" ht="13.5">
      <c r="AR723" s="426"/>
      <c r="AS723" s="426"/>
      <c r="AT723" s="248"/>
    </row>
    <row r="724" spans="44:46" ht="13.5">
      <c r="AR724" s="426"/>
      <c r="AS724" s="426"/>
      <c r="AT724" s="248"/>
    </row>
    <row r="725" spans="44:46" ht="13.5">
      <c r="AR725" s="426"/>
      <c r="AS725" s="426"/>
      <c r="AT725" s="248"/>
    </row>
    <row r="726" spans="44:46" ht="13.5">
      <c r="AR726" s="426"/>
      <c r="AS726" s="426"/>
      <c r="AT726" s="248"/>
    </row>
    <row r="727" spans="44:46" ht="13.5">
      <c r="AR727" s="426"/>
      <c r="AS727" s="426"/>
      <c r="AT727" s="248"/>
    </row>
    <row r="728" spans="44:46" ht="13.5">
      <c r="AR728" s="426"/>
      <c r="AS728" s="426"/>
      <c r="AT728" s="248"/>
    </row>
    <row r="729" spans="44:46" ht="13.5">
      <c r="AR729" s="426"/>
      <c r="AS729" s="426"/>
      <c r="AT729" s="248"/>
    </row>
    <row r="730" spans="44:46" ht="13.5">
      <c r="AR730" s="426"/>
      <c r="AS730" s="426"/>
      <c r="AT730" s="248"/>
    </row>
    <row r="731" spans="44:46" ht="13.5">
      <c r="AR731" s="426"/>
      <c r="AS731" s="426"/>
      <c r="AT731" s="248"/>
    </row>
    <row r="732" spans="44:46" ht="13.5">
      <c r="AR732" s="426"/>
      <c r="AS732" s="426"/>
      <c r="AT732" s="248"/>
    </row>
    <row r="733" spans="44:46" ht="13.5">
      <c r="AR733" s="426"/>
      <c r="AS733" s="426"/>
      <c r="AT733" s="248"/>
    </row>
    <row r="734" spans="44:46" ht="13.5">
      <c r="AR734" s="426"/>
      <c r="AS734" s="426"/>
      <c r="AT734" s="248"/>
    </row>
    <row r="735" spans="44:46" ht="13.5">
      <c r="AR735" s="426"/>
      <c r="AS735" s="426"/>
      <c r="AT735" s="248"/>
    </row>
    <row r="736" spans="44:46" ht="13.5">
      <c r="AR736" s="426"/>
      <c r="AS736" s="426"/>
      <c r="AT736" s="248"/>
    </row>
    <row r="737" spans="44:46" ht="13.5">
      <c r="AR737" s="426"/>
      <c r="AS737" s="426"/>
      <c r="AT737" s="248"/>
    </row>
    <row r="738" spans="44:46" ht="13.5">
      <c r="AR738" s="426"/>
      <c r="AS738" s="426"/>
      <c r="AT738" s="248"/>
    </row>
    <row r="739" spans="44:46" ht="13.5">
      <c r="AR739" s="426"/>
      <c r="AS739" s="426"/>
      <c r="AT739" s="248"/>
    </row>
    <row r="740" spans="44:46" ht="13.5">
      <c r="AR740" s="426"/>
      <c r="AS740" s="426"/>
      <c r="AT740" s="248"/>
    </row>
    <row r="741" spans="44:46" ht="13.5">
      <c r="AR741" s="426"/>
      <c r="AS741" s="426"/>
      <c r="AT741" s="248"/>
    </row>
    <row r="742" spans="44:46" ht="13.5">
      <c r="AR742" s="426"/>
      <c r="AS742" s="426"/>
      <c r="AT742" s="248"/>
    </row>
    <row r="743" spans="44:46" ht="13.5">
      <c r="AR743" s="426"/>
      <c r="AS743" s="426"/>
      <c r="AT743" s="248"/>
    </row>
    <row r="744" spans="44:46" ht="13.5">
      <c r="AR744" s="426"/>
      <c r="AS744" s="426"/>
      <c r="AT744" s="248"/>
    </row>
    <row r="745" spans="44:46" ht="13.5">
      <c r="AR745" s="426"/>
      <c r="AS745" s="426"/>
      <c r="AT745" s="248"/>
    </row>
    <row r="746" spans="44:46" ht="13.5">
      <c r="AR746" s="426"/>
      <c r="AS746" s="426"/>
      <c r="AT746" s="248"/>
    </row>
    <row r="747" spans="44:46" ht="13.5">
      <c r="AR747" s="426"/>
      <c r="AS747" s="426"/>
      <c r="AT747" s="248"/>
    </row>
    <row r="748" spans="44:46" ht="13.5">
      <c r="AR748" s="426"/>
      <c r="AS748" s="426"/>
      <c r="AT748" s="248"/>
    </row>
    <row r="749" spans="44:46" ht="13.5">
      <c r="AR749" s="426"/>
      <c r="AS749" s="426"/>
      <c r="AT749" s="248"/>
    </row>
    <row r="750" spans="44:46" ht="13.5">
      <c r="AR750" s="426"/>
      <c r="AS750" s="426"/>
      <c r="AT750" s="248"/>
    </row>
    <row r="751" spans="44:46" ht="13.5">
      <c r="AR751" s="426"/>
      <c r="AS751" s="426"/>
      <c r="AT751" s="248"/>
    </row>
    <row r="752" spans="44:46" ht="13.5">
      <c r="AR752" s="426"/>
      <c r="AS752" s="426"/>
      <c r="AT752" s="248"/>
    </row>
    <row r="753" spans="44:46" ht="13.5">
      <c r="AR753" s="426"/>
      <c r="AS753" s="426"/>
      <c r="AT753" s="248"/>
    </row>
    <row r="754" spans="44:46" ht="13.5">
      <c r="AR754" s="426"/>
      <c r="AS754" s="426"/>
      <c r="AT754" s="248"/>
    </row>
  </sheetData>
  <sheetProtection/>
  <mergeCells count="53"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AB39:AC39"/>
    <mergeCell ref="AB23:AC24"/>
    <mergeCell ref="AB35:AC35"/>
    <mergeCell ref="AB36:AC36"/>
    <mergeCell ref="AB31:AC32"/>
    <mergeCell ref="AB34:AC34"/>
    <mergeCell ref="AB27:AC28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K52:L52"/>
    <mergeCell ref="D43:E43"/>
    <mergeCell ref="B53:C53"/>
    <mergeCell ref="E46:F46"/>
    <mergeCell ref="G46:H46"/>
    <mergeCell ref="K47:L47"/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S16" sqref="S16"/>
    </sheetView>
  </sheetViews>
  <sheetFormatPr defaultColWidth="9.140625" defaultRowHeight="12.75"/>
  <cols>
    <col min="1" max="1" width="33.57421875" style="0" customWidth="1"/>
    <col min="2" max="2" width="5.8515625" style="218" customWidth="1"/>
    <col min="3" max="3" width="5.8515625" style="219" customWidth="1"/>
    <col min="4" max="4" width="5.28125" style="218" customWidth="1"/>
    <col min="5" max="5" width="5.28125" style="220" customWidth="1"/>
    <col min="6" max="6" width="4.421875" style="218" customWidth="1"/>
    <col min="7" max="7" width="0.85546875" style="221" customWidth="1"/>
    <col min="8" max="8" width="34.00390625" style="222" customWidth="1"/>
    <col min="9" max="9" width="6.00390625" style="223" customWidth="1"/>
    <col min="10" max="11" width="6.7109375" style="223" customWidth="1"/>
    <col min="12" max="12" width="1.1484375" style="221" customWidth="1"/>
    <col min="13" max="13" width="31.140625" style="222" customWidth="1"/>
    <col min="14" max="14" width="7.140625" style="218" customWidth="1"/>
    <col min="15" max="15" width="5.8515625" style="218" customWidth="1"/>
    <col min="16" max="16" width="6.7109375" style="223" customWidth="1"/>
    <col min="17" max="17" width="1.1484375" style="221" customWidth="1"/>
    <col min="18" max="18" width="31.8515625" style="224" customWidth="1"/>
    <col min="19" max="19" width="5.57421875" style="225" customWidth="1"/>
    <col min="20" max="20" width="75.28125" style="224" customWidth="1"/>
    <col min="21" max="21" width="34.7109375" style="224" customWidth="1"/>
    <col min="22" max="22" width="29.28125" style="224" customWidth="1"/>
    <col min="23" max="23" width="1.421875" style="221" customWidth="1"/>
    <col min="24" max="24" width="31.140625" style="222" customWidth="1"/>
    <col min="25" max="25" width="4.8515625" style="218" customWidth="1"/>
    <col min="26" max="26" width="6.57421875" style="218" customWidth="1"/>
    <col min="27" max="27" width="6.7109375" style="218" customWidth="1"/>
    <col min="28" max="28" width="92.7109375" style="222" customWidth="1"/>
    <col min="29" max="29" width="0.9921875" style="221" customWidth="1"/>
    <col min="30" max="30" width="24.140625" style="222" customWidth="1"/>
    <col min="31" max="31" width="5.421875" style="218" customWidth="1"/>
    <col min="32" max="32" width="58.57421875" style="222" customWidth="1"/>
    <col min="33" max="33" width="0.9921875" style="221" customWidth="1"/>
  </cols>
  <sheetData>
    <row r="1" spans="1:33" s="255" customFormat="1" ht="22.5" customHeight="1">
      <c r="A1" s="255" t="s">
        <v>89</v>
      </c>
      <c r="B1" s="250"/>
      <c r="C1" s="251"/>
      <c r="D1" s="250"/>
      <c r="E1" s="252"/>
      <c r="F1" s="250"/>
      <c r="G1" s="256"/>
      <c r="H1" s="254" t="s">
        <v>90</v>
      </c>
      <c r="I1" s="253"/>
      <c r="J1" s="253"/>
      <c r="K1" s="253"/>
      <c r="L1" s="256"/>
      <c r="M1" s="254" t="s">
        <v>91</v>
      </c>
      <c r="N1" s="250"/>
      <c r="O1" s="250"/>
      <c r="P1" s="253"/>
      <c r="Q1" s="256"/>
      <c r="R1" s="250" t="s">
        <v>92</v>
      </c>
      <c r="S1" s="254"/>
      <c r="T1" s="257"/>
      <c r="U1" s="250"/>
      <c r="V1" s="250"/>
      <c r="W1" s="256"/>
      <c r="X1" s="254" t="s">
        <v>93</v>
      </c>
      <c r="Y1" s="250"/>
      <c r="Z1" s="250"/>
      <c r="AA1" s="250"/>
      <c r="AB1" s="254"/>
      <c r="AC1" s="256"/>
      <c r="AD1" s="258" t="s">
        <v>94</v>
      </c>
      <c r="AE1" s="250"/>
      <c r="AF1" s="254"/>
      <c r="AG1" s="256"/>
    </row>
    <row r="2" spans="1:33" s="230" customFormat="1" ht="52.5" customHeight="1">
      <c r="A2" s="226" t="s">
        <v>95</v>
      </c>
      <c r="B2" s="227" t="s">
        <v>96</v>
      </c>
      <c r="C2" s="228" t="s">
        <v>97</v>
      </c>
      <c r="D2" s="227" t="s">
        <v>98</v>
      </c>
      <c r="E2" s="226" t="s">
        <v>99</v>
      </c>
      <c r="F2" s="227" t="s">
        <v>100</v>
      </c>
      <c r="G2" s="229"/>
      <c r="H2" s="296" t="s">
        <v>616</v>
      </c>
      <c r="I2" s="231" t="s">
        <v>101</v>
      </c>
      <c r="J2" s="231" t="s">
        <v>102</v>
      </c>
      <c r="K2" s="284" t="s">
        <v>642</v>
      </c>
      <c r="L2" s="229"/>
      <c r="M2" s="296" t="s">
        <v>617</v>
      </c>
      <c r="N2" s="227" t="s">
        <v>101</v>
      </c>
      <c r="O2" s="227" t="s">
        <v>102</v>
      </c>
      <c r="P2" s="284" t="s">
        <v>615</v>
      </c>
      <c r="Q2" s="229"/>
      <c r="R2" s="227" t="s">
        <v>103</v>
      </c>
      <c r="S2" s="230" t="s">
        <v>104</v>
      </c>
      <c r="T2" s="227" t="s">
        <v>105</v>
      </c>
      <c r="U2" s="227" t="s">
        <v>106</v>
      </c>
      <c r="V2" s="227" t="s">
        <v>107</v>
      </c>
      <c r="W2" s="229"/>
      <c r="X2" s="230" t="s">
        <v>95</v>
      </c>
      <c r="Y2" s="227" t="s">
        <v>108</v>
      </c>
      <c r="Z2" s="227" t="s">
        <v>109</v>
      </c>
      <c r="AA2" s="227" t="s">
        <v>110</v>
      </c>
      <c r="AB2" s="230" t="s">
        <v>111</v>
      </c>
      <c r="AC2" s="229"/>
      <c r="AD2" s="230" t="s">
        <v>95</v>
      </c>
      <c r="AE2" s="227" t="s">
        <v>33</v>
      </c>
      <c r="AF2" s="230" t="s">
        <v>112</v>
      </c>
      <c r="AG2" s="229"/>
    </row>
    <row r="3" spans="1:32" ht="12.75">
      <c r="A3" t="s">
        <v>113</v>
      </c>
      <c r="B3" s="218">
        <v>16</v>
      </c>
      <c r="C3" s="219">
        <f>IF(ISNUMBER(B3),(1+(B3/(258.6-0.87955*B3)))*1000,"")</f>
        <v>1065.432393615107</v>
      </c>
      <c r="D3" s="218">
        <v>6.8</v>
      </c>
      <c r="E3" s="220">
        <v>14</v>
      </c>
      <c r="F3" s="218">
        <v>24</v>
      </c>
      <c r="H3" s="232" t="s">
        <v>16</v>
      </c>
      <c r="I3" s="233"/>
      <c r="J3" s="233"/>
      <c r="K3" s="233"/>
      <c r="M3" s="232" t="s">
        <v>20</v>
      </c>
      <c r="N3" s="234"/>
      <c r="O3" s="234"/>
      <c r="P3" s="233"/>
      <c r="R3" s="235" t="s">
        <v>43</v>
      </c>
      <c r="S3" s="236"/>
      <c r="T3" s="237"/>
      <c r="U3" s="237"/>
      <c r="V3" s="237"/>
      <c r="X3" s="232" t="s">
        <v>114</v>
      </c>
      <c r="Y3" s="234">
        <v>73</v>
      </c>
      <c r="Z3" s="234">
        <v>106</v>
      </c>
      <c r="AA3" s="234">
        <v>20</v>
      </c>
      <c r="AB3" s="232" t="s">
        <v>115</v>
      </c>
      <c r="AD3" s="232" t="s">
        <v>42</v>
      </c>
      <c r="AE3" s="234" t="s">
        <v>116</v>
      </c>
      <c r="AF3" s="232" t="s">
        <v>116</v>
      </c>
    </row>
    <row r="4" spans="1:32" ht="12.75">
      <c r="A4" t="s">
        <v>117</v>
      </c>
      <c r="B4" s="218">
        <v>18.4</v>
      </c>
      <c r="C4" s="219">
        <f aca="true" t="shared" si="0" ref="C4:C56">IF(ISNUMBER(B4),(1+(B4/(258.6-0.87955*B4)))*1000,"")</f>
        <v>1075.902493017383</v>
      </c>
      <c r="D4" s="218">
        <v>8.3</v>
      </c>
      <c r="E4" s="220">
        <v>13</v>
      </c>
      <c r="F4" s="218">
        <v>31</v>
      </c>
      <c r="H4" s="232" t="s">
        <v>118</v>
      </c>
      <c r="I4" s="233">
        <v>80.07</v>
      </c>
      <c r="J4" s="233">
        <v>3</v>
      </c>
      <c r="K4" s="233">
        <v>100</v>
      </c>
      <c r="M4" s="260" t="s">
        <v>612</v>
      </c>
      <c r="N4" s="234">
        <v>99.5</v>
      </c>
      <c r="O4" s="234">
        <v>0.1</v>
      </c>
      <c r="P4" s="233">
        <v>100</v>
      </c>
      <c r="R4" s="237" t="s">
        <v>119</v>
      </c>
      <c r="S4" s="236">
        <v>14</v>
      </c>
      <c r="T4" s="237" t="s">
        <v>120</v>
      </c>
      <c r="U4" s="237" t="s">
        <v>121</v>
      </c>
      <c r="V4" s="237" t="s">
        <v>122</v>
      </c>
      <c r="X4" s="232" t="s">
        <v>123</v>
      </c>
      <c r="Y4" s="234">
        <v>71</v>
      </c>
      <c r="Z4" s="234">
        <v>107</v>
      </c>
      <c r="AA4" s="234">
        <v>20</v>
      </c>
      <c r="AB4" s="232" t="s">
        <v>124</v>
      </c>
      <c r="AD4" s="232" t="s">
        <v>125</v>
      </c>
      <c r="AE4" s="234" t="s">
        <v>126</v>
      </c>
      <c r="AF4" s="232" t="s">
        <v>127</v>
      </c>
    </row>
    <row r="5" spans="1:32" ht="12.75">
      <c r="A5" t="s">
        <v>128</v>
      </c>
      <c r="B5" s="218">
        <v>14.5</v>
      </c>
      <c r="C5" s="219">
        <f t="shared" si="0"/>
        <v>1058.9798859267992</v>
      </c>
      <c r="D5" s="218">
        <v>6.4</v>
      </c>
      <c r="E5" s="220">
        <v>18</v>
      </c>
      <c r="F5" s="218">
        <v>31</v>
      </c>
      <c r="H5" s="232" t="s">
        <v>129</v>
      </c>
      <c r="I5" s="233">
        <v>83.5</v>
      </c>
      <c r="J5" s="233">
        <v>2.7</v>
      </c>
      <c r="K5" s="233">
        <v>100</v>
      </c>
      <c r="M5" s="232" t="s">
        <v>130</v>
      </c>
      <c r="N5" s="234">
        <v>99.55</v>
      </c>
      <c r="O5" s="234">
        <v>30</v>
      </c>
      <c r="P5" s="233">
        <v>99.5</v>
      </c>
      <c r="R5" s="237" t="s">
        <v>131</v>
      </c>
      <c r="S5" s="236">
        <v>8.2</v>
      </c>
      <c r="T5" s="237" t="s">
        <v>132</v>
      </c>
      <c r="U5" s="237" t="s">
        <v>133</v>
      </c>
      <c r="V5" s="237" t="s">
        <v>134</v>
      </c>
      <c r="X5" s="232" t="s">
        <v>135</v>
      </c>
      <c r="Y5" s="234">
        <v>68</v>
      </c>
      <c r="Z5" s="234">
        <v>106</v>
      </c>
      <c r="AA5" s="234">
        <v>20</v>
      </c>
      <c r="AB5" s="232" t="s">
        <v>136</v>
      </c>
      <c r="AD5" s="232" t="s">
        <v>137</v>
      </c>
      <c r="AE5" s="234" t="s">
        <v>126</v>
      </c>
      <c r="AF5" s="232" t="s">
        <v>138</v>
      </c>
    </row>
    <row r="6" spans="1:32" ht="12.75">
      <c r="A6" t="s">
        <v>139</v>
      </c>
      <c r="B6" s="218">
        <v>15.6</v>
      </c>
      <c r="C6" s="219">
        <f t="shared" si="0"/>
        <v>1063.7049266205001</v>
      </c>
      <c r="D6" s="218">
        <v>6.6</v>
      </c>
      <c r="E6" s="220">
        <v>15</v>
      </c>
      <c r="F6" s="218">
        <v>25</v>
      </c>
      <c r="H6" s="232" t="s">
        <v>140</v>
      </c>
      <c r="I6" s="233">
        <v>75</v>
      </c>
      <c r="J6" s="233">
        <v>4</v>
      </c>
      <c r="K6" s="233">
        <v>100</v>
      </c>
      <c r="M6" s="232" t="s">
        <v>141</v>
      </c>
      <c r="N6" s="234">
        <v>99.55</v>
      </c>
      <c r="O6" s="234">
        <v>10.005021607606587</v>
      </c>
      <c r="P6" s="233">
        <v>100</v>
      </c>
      <c r="R6" s="237" t="s">
        <v>142</v>
      </c>
      <c r="S6" s="236">
        <v>6.4</v>
      </c>
      <c r="T6" s="237" t="s">
        <v>143</v>
      </c>
      <c r="U6" s="237" t="s">
        <v>144</v>
      </c>
      <c r="V6" s="237" t="s">
        <v>145</v>
      </c>
      <c r="X6" s="260" t="s">
        <v>645</v>
      </c>
      <c r="Y6" s="234">
        <v>90</v>
      </c>
      <c r="Z6" s="234">
        <v>107.5</v>
      </c>
      <c r="AA6" s="234" t="s">
        <v>584</v>
      </c>
      <c r="AB6" s="260" t="s">
        <v>585</v>
      </c>
      <c r="AD6" s="232" t="s">
        <v>147</v>
      </c>
      <c r="AE6" s="234" t="s">
        <v>148</v>
      </c>
      <c r="AF6" s="232" t="s">
        <v>149</v>
      </c>
    </row>
    <row r="7" spans="1:32" ht="12.75">
      <c r="A7" t="s">
        <v>150</v>
      </c>
      <c r="B7" s="218">
        <v>16.9</v>
      </c>
      <c r="C7" s="219">
        <f t="shared" si="0"/>
        <v>1069.3374281529364</v>
      </c>
      <c r="D7" s="218">
        <v>8.1</v>
      </c>
      <c r="E7" s="220">
        <v>65</v>
      </c>
      <c r="F7" s="218">
        <v>29</v>
      </c>
      <c r="H7" s="232" t="s">
        <v>151</v>
      </c>
      <c r="I7" s="233">
        <v>80.07</v>
      </c>
      <c r="J7" s="233">
        <v>8</v>
      </c>
      <c r="K7" s="233">
        <v>100</v>
      </c>
      <c r="M7" s="232" t="s">
        <v>152</v>
      </c>
      <c r="N7" s="234">
        <v>68</v>
      </c>
      <c r="O7" s="234">
        <v>100</v>
      </c>
      <c r="P7" s="233">
        <v>93</v>
      </c>
      <c r="R7" s="237" t="s">
        <v>153</v>
      </c>
      <c r="S7" s="236">
        <v>6</v>
      </c>
      <c r="T7" s="237" t="s">
        <v>154</v>
      </c>
      <c r="U7" s="237" t="s">
        <v>155</v>
      </c>
      <c r="V7" s="237" t="s">
        <v>156</v>
      </c>
      <c r="X7" s="260" t="s">
        <v>644</v>
      </c>
      <c r="Y7" s="234">
        <v>69</v>
      </c>
      <c r="Z7" s="234">
        <v>107</v>
      </c>
      <c r="AA7" s="234" t="s">
        <v>146</v>
      </c>
      <c r="AB7" s="260" t="s">
        <v>587</v>
      </c>
      <c r="AD7" s="232" t="s">
        <v>159</v>
      </c>
      <c r="AE7" s="234" t="s">
        <v>126</v>
      </c>
      <c r="AF7" s="232" t="s">
        <v>160</v>
      </c>
    </row>
    <row r="8" spans="1:32" ht="12.75">
      <c r="A8" t="s">
        <v>161</v>
      </c>
      <c r="B8" s="218">
        <v>21.5</v>
      </c>
      <c r="C8" s="219">
        <f t="shared" si="0"/>
        <v>1089.699316418198</v>
      </c>
      <c r="D8" s="218">
        <v>10</v>
      </c>
      <c r="E8" s="220">
        <v>78</v>
      </c>
      <c r="F8" s="218">
        <v>22</v>
      </c>
      <c r="H8" s="232" t="s">
        <v>162</v>
      </c>
      <c r="I8" s="233">
        <v>80.07</v>
      </c>
      <c r="J8" s="233">
        <v>15</v>
      </c>
      <c r="K8" s="233">
        <v>100</v>
      </c>
      <c r="M8" s="232" t="s">
        <v>163</v>
      </c>
      <c r="N8" s="234">
        <v>92.3</v>
      </c>
      <c r="O8" s="234">
        <v>0.1</v>
      </c>
      <c r="P8" s="233">
        <v>100</v>
      </c>
      <c r="R8" s="237" t="s">
        <v>646</v>
      </c>
      <c r="S8" s="236">
        <v>7.5</v>
      </c>
      <c r="T8" s="237" t="s">
        <v>164</v>
      </c>
      <c r="U8" s="237" t="s">
        <v>165</v>
      </c>
      <c r="V8" s="237" t="s">
        <v>166</v>
      </c>
      <c r="X8" s="260" t="s">
        <v>691</v>
      </c>
      <c r="Y8" s="234">
        <v>82</v>
      </c>
      <c r="Z8" s="234">
        <v>107</v>
      </c>
      <c r="AA8" s="234" t="s">
        <v>690</v>
      </c>
      <c r="AB8" s="260" t="s">
        <v>692</v>
      </c>
      <c r="AD8" s="232" t="s">
        <v>169</v>
      </c>
      <c r="AE8" s="234" t="s">
        <v>126</v>
      </c>
      <c r="AF8" s="232" t="s">
        <v>170</v>
      </c>
    </row>
    <row r="9" spans="1:32" ht="12.75">
      <c r="A9" t="s">
        <v>171</v>
      </c>
      <c r="B9" s="218">
        <v>18</v>
      </c>
      <c r="C9" s="219">
        <f t="shared" si="0"/>
        <v>1074.1448320434192</v>
      </c>
      <c r="D9" s="218">
        <v>8.5</v>
      </c>
      <c r="E9" s="220">
        <v>14</v>
      </c>
      <c r="F9" s="218">
        <v>28</v>
      </c>
      <c r="H9" s="232" t="s">
        <v>172</v>
      </c>
      <c r="I9" s="233">
        <v>80</v>
      </c>
      <c r="J9" s="233">
        <v>31.005141973052183</v>
      </c>
      <c r="K9" s="233">
        <v>99.5</v>
      </c>
      <c r="M9" s="260" t="s">
        <v>604</v>
      </c>
      <c r="N9" s="234">
        <v>69</v>
      </c>
      <c r="O9" s="234">
        <v>1</v>
      </c>
      <c r="P9" s="233">
        <v>23</v>
      </c>
      <c r="R9" s="237" t="s">
        <v>647</v>
      </c>
      <c r="S9" s="236">
        <v>8</v>
      </c>
      <c r="T9" s="237" t="s">
        <v>164</v>
      </c>
      <c r="U9" s="237" t="s">
        <v>165</v>
      </c>
      <c r="V9" s="237" t="s">
        <v>166</v>
      </c>
      <c r="X9" s="232" t="s">
        <v>157</v>
      </c>
      <c r="Y9" s="234">
        <v>78</v>
      </c>
      <c r="Z9" s="234">
        <v>107</v>
      </c>
      <c r="AA9" s="234">
        <v>11</v>
      </c>
      <c r="AB9" s="232" t="s">
        <v>158</v>
      </c>
      <c r="AD9" s="232" t="s">
        <v>180</v>
      </c>
      <c r="AE9" s="234" t="s">
        <v>126</v>
      </c>
      <c r="AF9" s="232" t="s">
        <v>181</v>
      </c>
    </row>
    <row r="10" spans="1:32" ht="12.75">
      <c r="A10" t="s">
        <v>182</v>
      </c>
      <c r="B10" s="218">
        <v>19.5</v>
      </c>
      <c r="C10" s="219">
        <f t="shared" si="0"/>
        <v>1080.7624722883766</v>
      </c>
      <c r="D10" s="218">
        <v>8</v>
      </c>
      <c r="E10" s="220">
        <v>12</v>
      </c>
      <c r="F10" s="218">
        <v>20</v>
      </c>
      <c r="H10" s="232" t="s">
        <v>183</v>
      </c>
      <c r="I10" s="233">
        <v>80.07</v>
      </c>
      <c r="J10" s="233">
        <v>49.057338814674104</v>
      </c>
      <c r="K10" s="233">
        <v>99.5</v>
      </c>
      <c r="M10" s="260" t="s">
        <v>603</v>
      </c>
      <c r="N10" s="234">
        <v>69</v>
      </c>
      <c r="O10" s="234">
        <v>1</v>
      </c>
      <c r="P10" s="233">
        <v>70</v>
      </c>
      <c r="R10" s="237" t="s">
        <v>174</v>
      </c>
      <c r="S10" s="236">
        <v>9.5</v>
      </c>
      <c r="T10" s="237" t="s">
        <v>175</v>
      </c>
      <c r="U10" s="237" t="s">
        <v>176</v>
      </c>
      <c r="V10" s="237" t="s">
        <v>177</v>
      </c>
      <c r="X10" s="232" t="s">
        <v>167</v>
      </c>
      <c r="Y10" s="234">
        <v>78</v>
      </c>
      <c r="Z10" s="234">
        <v>107</v>
      </c>
      <c r="AA10" s="234">
        <v>20</v>
      </c>
      <c r="AB10" s="232" t="s">
        <v>168</v>
      </c>
      <c r="AD10" s="232" t="s">
        <v>191</v>
      </c>
      <c r="AE10" s="234" t="s">
        <v>192</v>
      </c>
      <c r="AF10" s="232" t="s">
        <v>193</v>
      </c>
    </row>
    <row r="11" spans="1:32" ht="12.75">
      <c r="A11" t="s">
        <v>194</v>
      </c>
      <c r="B11" s="218">
        <v>14.9</v>
      </c>
      <c r="C11" s="219">
        <f t="shared" si="0"/>
        <v>1060.6937734156018</v>
      </c>
      <c r="D11" s="218">
        <v>7.1</v>
      </c>
      <c r="E11" s="220">
        <v>30</v>
      </c>
      <c r="F11" s="218">
        <v>20</v>
      </c>
      <c r="H11" s="232" t="s">
        <v>195</v>
      </c>
      <c r="I11" s="233">
        <v>70</v>
      </c>
      <c r="J11" s="233">
        <v>58</v>
      </c>
      <c r="K11" s="233">
        <v>99.5</v>
      </c>
      <c r="M11" s="260" t="s">
        <v>605</v>
      </c>
      <c r="N11" s="234">
        <v>69</v>
      </c>
      <c r="O11" s="234">
        <v>1</v>
      </c>
      <c r="P11" s="233">
        <v>87</v>
      </c>
      <c r="R11" s="237" t="s">
        <v>185</v>
      </c>
      <c r="S11" s="236">
        <v>7.5</v>
      </c>
      <c r="T11" s="237" t="s">
        <v>186</v>
      </c>
      <c r="U11" s="237" t="s">
        <v>187</v>
      </c>
      <c r="V11" s="237" t="s">
        <v>188</v>
      </c>
      <c r="X11" s="232" t="s">
        <v>178</v>
      </c>
      <c r="Y11" s="234">
        <v>78</v>
      </c>
      <c r="Z11" s="234">
        <v>107</v>
      </c>
      <c r="AA11" s="234">
        <v>20</v>
      </c>
      <c r="AB11" s="232" t="s">
        <v>179</v>
      </c>
      <c r="AD11" s="232" t="s">
        <v>202</v>
      </c>
      <c r="AE11" s="234" t="s">
        <v>126</v>
      </c>
      <c r="AF11" s="232" t="s">
        <v>203</v>
      </c>
    </row>
    <row r="12" spans="1:32" ht="12.75" customHeight="1">
      <c r="A12" t="s">
        <v>204</v>
      </c>
      <c r="B12" s="218">
        <v>16.9</v>
      </c>
      <c r="C12" s="219">
        <f t="shared" si="0"/>
        <v>1069.3374281529364</v>
      </c>
      <c r="D12" s="218">
        <v>8.2</v>
      </c>
      <c r="E12" s="220">
        <v>17</v>
      </c>
      <c r="F12" s="218">
        <v>35</v>
      </c>
      <c r="H12" s="260" t="s">
        <v>583</v>
      </c>
      <c r="I12" s="233">
        <v>77</v>
      </c>
      <c r="J12" s="233">
        <v>5</v>
      </c>
      <c r="K12" s="233">
        <v>98</v>
      </c>
      <c r="M12" s="260" t="s">
        <v>606</v>
      </c>
      <c r="N12" s="234">
        <v>69</v>
      </c>
      <c r="O12" s="234">
        <v>1</v>
      </c>
      <c r="P12" s="233">
        <v>76</v>
      </c>
      <c r="R12" s="237" t="s">
        <v>581</v>
      </c>
      <c r="S12" s="236">
        <v>15</v>
      </c>
      <c r="T12" s="237" t="s">
        <v>578</v>
      </c>
      <c r="U12" s="237" t="s">
        <v>579</v>
      </c>
      <c r="V12" s="237" t="s">
        <v>580</v>
      </c>
      <c r="X12" s="232" t="s">
        <v>189</v>
      </c>
      <c r="Y12" s="234">
        <v>68</v>
      </c>
      <c r="Z12" s="234">
        <v>107</v>
      </c>
      <c r="AA12" s="234">
        <v>20</v>
      </c>
      <c r="AB12" s="232" t="s">
        <v>190</v>
      </c>
      <c r="AD12" s="232" t="s">
        <v>212</v>
      </c>
      <c r="AE12" s="234" t="s">
        <v>148</v>
      </c>
      <c r="AF12" s="232" t="s">
        <v>213</v>
      </c>
    </row>
    <row r="13" spans="1:32" ht="12.75">
      <c r="A13" t="s">
        <v>214</v>
      </c>
      <c r="B13" s="218">
        <v>18.7</v>
      </c>
      <c r="C13" s="219">
        <f t="shared" si="0"/>
        <v>1077.224090455592</v>
      </c>
      <c r="D13" s="218">
        <v>9</v>
      </c>
      <c r="E13" s="220">
        <v>80</v>
      </c>
      <c r="F13" s="218">
        <v>35</v>
      </c>
      <c r="H13" s="232" t="s">
        <v>205</v>
      </c>
      <c r="I13" s="233">
        <v>76</v>
      </c>
      <c r="J13" s="233">
        <v>22</v>
      </c>
      <c r="K13" s="233">
        <v>97</v>
      </c>
      <c r="M13" s="260" t="s">
        <v>607</v>
      </c>
      <c r="N13" s="234">
        <v>69</v>
      </c>
      <c r="O13" s="234">
        <v>1</v>
      </c>
      <c r="P13" s="233">
        <v>97</v>
      </c>
      <c r="R13" s="237" t="s">
        <v>196</v>
      </c>
      <c r="S13" s="236">
        <v>5</v>
      </c>
      <c r="T13" s="237" t="s">
        <v>197</v>
      </c>
      <c r="U13" s="237" t="s">
        <v>198</v>
      </c>
      <c r="V13" s="237" t="s">
        <v>199</v>
      </c>
      <c r="X13" s="260" t="s">
        <v>586</v>
      </c>
      <c r="Y13" s="234">
        <v>75</v>
      </c>
      <c r="Z13" s="234">
        <v>107.5</v>
      </c>
      <c r="AA13" s="234">
        <v>20</v>
      </c>
      <c r="AB13" s="260" t="s">
        <v>587</v>
      </c>
      <c r="AD13" s="232" t="s">
        <v>223</v>
      </c>
      <c r="AE13" s="234" t="s">
        <v>126</v>
      </c>
      <c r="AF13" s="232" t="s">
        <v>224</v>
      </c>
    </row>
    <row r="14" spans="1:32" ht="12.75">
      <c r="A14" t="s">
        <v>225</v>
      </c>
      <c r="B14" s="218">
        <v>13.6</v>
      </c>
      <c r="C14" s="219">
        <f t="shared" si="0"/>
        <v>1055.1415166479537</v>
      </c>
      <c r="D14" s="218">
        <v>6.2</v>
      </c>
      <c r="E14" s="220">
        <v>25</v>
      </c>
      <c r="F14" s="218">
        <v>33</v>
      </c>
      <c r="H14" s="260" t="s">
        <v>671</v>
      </c>
      <c r="I14" s="233">
        <v>76</v>
      </c>
      <c r="J14" s="233">
        <v>35</v>
      </c>
      <c r="K14" s="233">
        <v>95</v>
      </c>
      <c r="M14" s="232" t="s">
        <v>173</v>
      </c>
      <c r="N14" s="234">
        <v>81</v>
      </c>
      <c r="O14" s="234">
        <v>2</v>
      </c>
      <c r="P14" s="233">
        <v>90</v>
      </c>
      <c r="R14" s="237" t="s">
        <v>207</v>
      </c>
      <c r="S14" s="236">
        <v>7.5</v>
      </c>
      <c r="T14" s="237" t="s">
        <v>208</v>
      </c>
      <c r="U14" s="237" t="s">
        <v>209</v>
      </c>
      <c r="V14" s="237" t="s">
        <v>199</v>
      </c>
      <c r="X14" s="232" t="s">
        <v>200</v>
      </c>
      <c r="Y14" s="234">
        <v>68</v>
      </c>
      <c r="Z14" s="234">
        <v>107</v>
      </c>
      <c r="AA14" s="234">
        <v>20</v>
      </c>
      <c r="AB14" s="232" t="s">
        <v>201</v>
      </c>
      <c r="AD14" s="232" t="s">
        <v>234</v>
      </c>
      <c r="AE14" s="234" t="s">
        <v>126</v>
      </c>
      <c r="AF14" s="232" t="s">
        <v>235</v>
      </c>
    </row>
    <row r="15" spans="1:32" ht="12.75">
      <c r="A15" t="s">
        <v>236</v>
      </c>
      <c r="B15" s="218">
        <v>7.5</v>
      </c>
      <c r="C15" s="219">
        <f t="shared" si="0"/>
        <v>1029.7615061703043</v>
      </c>
      <c r="D15" s="218">
        <v>7.8</v>
      </c>
      <c r="E15" s="220">
        <v>40</v>
      </c>
      <c r="F15" s="218">
        <v>18</v>
      </c>
      <c r="H15" s="232" t="s">
        <v>215</v>
      </c>
      <c r="I15" s="233">
        <v>76</v>
      </c>
      <c r="J15" s="233">
        <v>66</v>
      </c>
      <c r="K15" s="233">
        <v>92</v>
      </c>
      <c r="M15" s="232" t="s">
        <v>184</v>
      </c>
      <c r="N15" s="234">
        <v>79</v>
      </c>
      <c r="O15" s="234">
        <v>1.5</v>
      </c>
      <c r="P15" s="233">
        <v>90</v>
      </c>
      <c r="R15" s="237" t="s">
        <v>217</v>
      </c>
      <c r="S15" s="236">
        <v>5.3</v>
      </c>
      <c r="T15" s="237" t="s">
        <v>218</v>
      </c>
      <c r="U15" s="237" t="s">
        <v>219</v>
      </c>
      <c r="V15" s="237" t="s">
        <v>220</v>
      </c>
      <c r="X15" s="232" t="s">
        <v>210</v>
      </c>
      <c r="Y15" s="234">
        <v>70</v>
      </c>
      <c r="Z15" s="234">
        <v>107</v>
      </c>
      <c r="AA15" s="234">
        <v>21</v>
      </c>
      <c r="AB15" s="232" t="s">
        <v>211</v>
      </c>
      <c r="AD15" s="232" t="s">
        <v>244</v>
      </c>
      <c r="AE15" s="234" t="s">
        <v>126</v>
      </c>
      <c r="AF15" s="232" t="s">
        <v>245</v>
      </c>
    </row>
    <row r="16" spans="1:32" ht="12.75">
      <c r="A16" t="s">
        <v>246</v>
      </c>
      <c r="B16" s="218">
        <v>19</v>
      </c>
      <c r="C16" s="219">
        <f t="shared" si="0"/>
        <v>1078.5485712324953</v>
      </c>
      <c r="D16" s="218">
        <v>9.2</v>
      </c>
      <c r="E16" s="220">
        <v>63</v>
      </c>
      <c r="F16" s="218">
        <v>22</v>
      </c>
      <c r="H16" s="232" t="s">
        <v>226</v>
      </c>
      <c r="I16" s="233">
        <v>75</v>
      </c>
      <c r="J16" s="233">
        <v>120</v>
      </c>
      <c r="K16" s="233">
        <v>93</v>
      </c>
      <c r="M16" s="260" t="s">
        <v>611</v>
      </c>
      <c r="N16" s="234">
        <v>69</v>
      </c>
      <c r="O16" s="234">
        <v>0.1</v>
      </c>
      <c r="P16" s="233">
        <v>100</v>
      </c>
      <c r="R16" s="237" t="s">
        <v>228</v>
      </c>
      <c r="S16" s="236">
        <v>3</v>
      </c>
      <c r="T16" s="237" t="s">
        <v>229</v>
      </c>
      <c r="U16" s="237" t="s">
        <v>230</v>
      </c>
      <c r="V16" s="237" t="s">
        <v>231</v>
      </c>
      <c r="X16" s="232" t="s">
        <v>221</v>
      </c>
      <c r="Y16" s="234">
        <v>72</v>
      </c>
      <c r="Z16" s="234">
        <v>107</v>
      </c>
      <c r="AA16" s="234">
        <v>11</v>
      </c>
      <c r="AB16" s="232" t="s">
        <v>222</v>
      </c>
      <c r="AD16" s="232" t="s">
        <v>254</v>
      </c>
      <c r="AE16" s="234" t="s">
        <v>126</v>
      </c>
      <c r="AF16" s="232" t="s">
        <v>255</v>
      </c>
    </row>
    <row r="17" spans="1:32" ht="12.75">
      <c r="A17" t="s">
        <v>256</v>
      </c>
      <c r="B17" s="218">
        <v>23</v>
      </c>
      <c r="C17" s="219">
        <f t="shared" si="0"/>
        <v>1096.488510420864</v>
      </c>
      <c r="D17" s="218">
        <v>11.3</v>
      </c>
      <c r="E17" s="220">
        <v>90</v>
      </c>
      <c r="F17" s="218">
        <v>27</v>
      </c>
      <c r="H17" s="232" t="s">
        <v>237</v>
      </c>
      <c r="I17" s="233">
        <v>79</v>
      </c>
      <c r="J17" s="233">
        <v>150</v>
      </c>
      <c r="K17" s="233">
        <v>99.2</v>
      </c>
      <c r="M17" s="260" t="s">
        <v>610</v>
      </c>
      <c r="N17" s="234">
        <v>99.7</v>
      </c>
      <c r="O17" s="234">
        <v>0.1</v>
      </c>
      <c r="P17" s="233">
        <v>100</v>
      </c>
      <c r="R17" s="237" t="s">
        <v>238</v>
      </c>
      <c r="S17" s="236">
        <v>4.5</v>
      </c>
      <c r="T17" s="237" t="s">
        <v>239</v>
      </c>
      <c r="U17" s="237" t="s">
        <v>240</v>
      </c>
      <c r="V17" s="237" t="s">
        <v>241</v>
      </c>
      <c r="X17" s="232" t="s">
        <v>232</v>
      </c>
      <c r="Y17" s="234">
        <v>70</v>
      </c>
      <c r="Z17" s="234">
        <v>107</v>
      </c>
      <c r="AA17" s="234">
        <v>20</v>
      </c>
      <c r="AB17" s="232" t="s">
        <v>233</v>
      </c>
      <c r="AD17" s="232" t="s">
        <v>263</v>
      </c>
      <c r="AE17" s="234" t="s">
        <v>148</v>
      </c>
      <c r="AF17" s="232" t="s">
        <v>264</v>
      </c>
    </row>
    <row r="18" spans="1:32" ht="12.75">
      <c r="A18" t="s">
        <v>265</v>
      </c>
      <c r="B18" s="218">
        <v>15.6</v>
      </c>
      <c r="C18" s="219">
        <f t="shared" si="0"/>
        <v>1063.7049266205001</v>
      </c>
      <c r="D18" s="218">
        <v>7.3</v>
      </c>
      <c r="E18" s="220">
        <v>65</v>
      </c>
      <c r="F18" s="218">
        <v>25</v>
      </c>
      <c r="H18" s="232" t="s">
        <v>247</v>
      </c>
      <c r="I18" s="233">
        <v>76</v>
      </c>
      <c r="J18" s="233">
        <v>390</v>
      </c>
      <c r="K18" s="233">
        <v>88</v>
      </c>
      <c r="M18" s="232" t="s">
        <v>70</v>
      </c>
      <c r="N18" s="234">
        <v>100</v>
      </c>
      <c r="O18" s="234">
        <v>0.004500101328458176</v>
      </c>
      <c r="P18" s="233">
        <v>100</v>
      </c>
      <c r="R18" s="237" t="s">
        <v>248</v>
      </c>
      <c r="S18" s="236">
        <v>4.5</v>
      </c>
      <c r="T18" s="237" t="s">
        <v>249</v>
      </c>
      <c r="U18" s="237" t="s">
        <v>250</v>
      </c>
      <c r="V18" s="237" t="s">
        <v>251</v>
      </c>
      <c r="X18" s="232" t="s">
        <v>242</v>
      </c>
      <c r="Y18" s="234">
        <v>81</v>
      </c>
      <c r="Z18" s="234">
        <v>107</v>
      </c>
      <c r="AA18" s="234">
        <v>20</v>
      </c>
      <c r="AB18" s="232" t="s">
        <v>243</v>
      </c>
      <c r="AD18" s="232" t="s">
        <v>275</v>
      </c>
      <c r="AE18" s="234" t="s">
        <v>126</v>
      </c>
      <c r="AF18" s="260" t="s">
        <v>672</v>
      </c>
    </row>
    <row r="19" spans="1:32" ht="12.75" customHeight="1">
      <c r="A19" t="s">
        <v>276</v>
      </c>
      <c r="B19" s="218">
        <v>19.6</v>
      </c>
      <c r="C19" s="219">
        <f t="shared" si="0"/>
        <v>1081.206220628518</v>
      </c>
      <c r="D19" s="218">
        <v>9.6</v>
      </c>
      <c r="E19" s="220">
        <v>15</v>
      </c>
      <c r="F19" s="218">
        <v>39</v>
      </c>
      <c r="H19" s="232" t="s">
        <v>257</v>
      </c>
      <c r="I19" s="233">
        <v>75</v>
      </c>
      <c r="J19" s="233">
        <v>900</v>
      </c>
      <c r="K19" s="233">
        <v>85</v>
      </c>
      <c r="M19" s="260" t="s">
        <v>614</v>
      </c>
      <c r="N19" s="234">
        <v>90</v>
      </c>
      <c r="O19" s="234">
        <v>30</v>
      </c>
      <c r="P19" s="233">
        <v>55</v>
      </c>
      <c r="R19" s="237" t="s">
        <v>258</v>
      </c>
      <c r="S19" s="236">
        <v>6.5</v>
      </c>
      <c r="T19" s="237" t="s">
        <v>259</v>
      </c>
      <c r="U19" s="237" t="s">
        <v>260</v>
      </c>
      <c r="V19" s="237" t="s">
        <v>220</v>
      </c>
      <c r="X19" s="232" t="s">
        <v>252</v>
      </c>
      <c r="Y19" s="234">
        <v>77</v>
      </c>
      <c r="Z19" s="234">
        <v>107</v>
      </c>
      <c r="AA19" s="234">
        <v>11</v>
      </c>
      <c r="AB19" s="232" t="s">
        <v>253</v>
      </c>
      <c r="AD19" s="232" t="s">
        <v>285</v>
      </c>
      <c r="AE19" s="234" t="s">
        <v>126</v>
      </c>
      <c r="AF19" s="232" t="s">
        <v>286</v>
      </c>
    </row>
    <row r="20" spans="1:32" ht="12.75">
      <c r="A20" t="s">
        <v>287</v>
      </c>
      <c r="B20" s="218">
        <v>12.6</v>
      </c>
      <c r="C20" s="219">
        <f t="shared" si="0"/>
        <v>1050.9054565680099</v>
      </c>
      <c r="D20" s="218">
        <v>5.6</v>
      </c>
      <c r="E20" s="220">
        <v>9</v>
      </c>
      <c r="F20" s="218">
        <v>41</v>
      </c>
      <c r="H20" s="232" t="s">
        <v>266</v>
      </c>
      <c r="I20" s="233">
        <v>64.8</v>
      </c>
      <c r="J20" s="233">
        <v>1400</v>
      </c>
      <c r="K20" s="233">
        <v>70</v>
      </c>
      <c r="M20" s="232" t="s">
        <v>206</v>
      </c>
      <c r="N20" s="234">
        <v>90</v>
      </c>
      <c r="O20" s="234">
        <v>30</v>
      </c>
      <c r="P20" s="233">
        <v>55</v>
      </c>
      <c r="Q20" s="221">
        <v>2</v>
      </c>
      <c r="R20" s="237" t="s">
        <v>268</v>
      </c>
      <c r="S20" s="236">
        <v>5.5</v>
      </c>
      <c r="T20" s="237" t="s">
        <v>269</v>
      </c>
      <c r="U20" s="237" t="s">
        <v>270</v>
      </c>
      <c r="V20" s="237" t="s">
        <v>271</v>
      </c>
      <c r="X20" s="232" t="s">
        <v>261</v>
      </c>
      <c r="Y20" s="234">
        <v>78</v>
      </c>
      <c r="Z20" s="234">
        <v>107</v>
      </c>
      <c r="AA20" s="234">
        <v>20</v>
      </c>
      <c r="AB20" s="232" t="s">
        <v>262</v>
      </c>
      <c r="AD20" s="232" t="s">
        <v>296</v>
      </c>
      <c r="AE20" s="234" t="s">
        <v>297</v>
      </c>
      <c r="AF20" s="232" t="s">
        <v>298</v>
      </c>
    </row>
    <row r="21" spans="1:32" ht="12.75">
      <c r="A21" t="s">
        <v>299</v>
      </c>
      <c r="B21" s="218">
        <v>17.6</v>
      </c>
      <c r="C21" s="219">
        <f t="shared" si="0"/>
        <v>1072.3922581086733</v>
      </c>
      <c r="D21" s="218">
        <v>8.3</v>
      </c>
      <c r="E21" s="220">
        <v>72</v>
      </c>
      <c r="F21" s="218">
        <v>35</v>
      </c>
      <c r="H21" s="232" t="s">
        <v>277</v>
      </c>
      <c r="I21" s="233">
        <v>73.58</v>
      </c>
      <c r="J21" s="233">
        <v>4</v>
      </c>
      <c r="K21" s="233">
        <v>100</v>
      </c>
      <c r="M21" s="260" t="s">
        <v>608</v>
      </c>
      <c r="N21" s="234">
        <v>100</v>
      </c>
      <c r="O21" s="234">
        <v>1</v>
      </c>
      <c r="P21" s="233">
        <v>14</v>
      </c>
      <c r="R21" s="237" t="s">
        <v>279</v>
      </c>
      <c r="S21" s="236">
        <v>3.5</v>
      </c>
      <c r="T21" s="237" t="s">
        <v>280</v>
      </c>
      <c r="U21" s="237" t="s">
        <v>281</v>
      </c>
      <c r="V21" s="237" t="s">
        <v>282</v>
      </c>
      <c r="X21" s="232" t="s">
        <v>272</v>
      </c>
      <c r="Y21" s="234">
        <v>66</v>
      </c>
      <c r="Z21" s="234">
        <v>107</v>
      </c>
      <c r="AA21" s="234" t="s">
        <v>273</v>
      </c>
      <c r="AB21" s="232" t="s">
        <v>274</v>
      </c>
      <c r="AD21" s="232" t="s">
        <v>308</v>
      </c>
      <c r="AE21" s="234" t="s">
        <v>126</v>
      </c>
      <c r="AF21" s="232" t="s">
        <v>309</v>
      </c>
    </row>
    <row r="22" spans="1:32" ht="12.75">
      <c r="A22" t="s">
        <v>310</v>
      </c>
      <c r="B22" s="218">
        <v>21.5</v>
      </c>
      <c r="C22" s="219">
        <f t="shared" si="0"/>
        <v>1089.699316418198</v>
      </c>
      <c r="D22" s="218">
        <v>10.2</v>
      </c>
      <c r="E22" s="220">
        <v>79</v>
      </c>
      <c r="F22" s="218">
        <v>38</v>
      </c>
      <c r="H22" s="232" t="s">
        <v>288</v>
      </c>
      <c r="I22" s="233">
        <v>74.58</v>
      </c>
      <c r="J22" s="233">
        <v>1</v>
      </c>
      <c r="K22" s="233">
        <v>100</v>
      </c>
      <c r="M22" s="260" t="s">
        <v>602</v>
      </c>
      <c r="N22" s="234">
        <v>100</v>
      </c>
      <c r="O22" s="234">
        <v>1</v>
      </c>
      <c r="P22" s="233">
        <v>4.5</v>
      </c>
      <c r="R22" s="237" t="s">
        <v>290</v>
      </c>
      <c r="S22" s="236">
        <v>3.7</v>
      </c>
      <c r="T22" s="237" t="s">
        <v>291</v>
      </c>
      <c r="U22" s="237" t="s">
        <v>292</v>
      </c>
      <c r="V22" s="237" t="s">
        <v>293</v>
      </c>
      <c r="X22" s="232" t="s">
        <v>283</v>
      </c>
      <c r="Y22" s="234">
        <v>66</v>
      </c>
      <c r="Z22" s="234">
        <v>107</v>
      </c>
      <c r="AA22" s="234" t="s">
        <v>273</v>
      </c>
      <c r="AB22" s="232" t="s">
        <v>284</v>
      </c>
      <c r="AD22" s="232" t="s">
        <v>318</v>
      </c>
      <c r="AE22" s="234" t="s">
        <v>126</v>
      </c>
      <c r="AF22" s="232" t="s">
        <v>309</v>
      </c>
    </row>
    <row r="23" spans="1:32" ht="12.75">
      <c r="A23" t="s">
        <v>319</v>
      </c>
      <c r="B23" s="218">
        <v>19.2</v>
      </c>
      <c r="C23" s="219">
        <f t="shared" si="0"/>
        <v>1079.4331649350238</v>
      </c>
      <c r="D23" s="218">
        <v>8.9</v>
      </c>
      <c r="E23" s="220">
        <v>25</v>
      </c>
      <c r="F23" s="218">
        <v>30</v>
      </c>
      <c r="H23" s="232" t="s">
        <v>300</v>
      </c>
      <c r="I23" s="233">
        <v>82.8</v>
      </c>
      <c r="J23" s="233">
        <v>0.2</v>
      </c>
      <c r="K23" s="233">
        <v>100</v>
      </c>
      <c r="M23" s="232" t="s">
        <v>267</v>
      </c>
      <c r="N23" s="234">
        <v>99.5</v>
      </c>
      <c r="O23" s="234">
        <v>18</v>
      </c>
      <c r="P23" s="233">
        <v>70</v>
      </c>
      <c r="R23" s="237" t="s">
        <v>302</v>
      </c>
      <c r="S23" s="236">
        <v>14</v>
      </c>
      <c r="T23" s="237" t="s">
        <v>303</v>
      </c>
      <c r="U23" s="237" t="s">
        <v>304</v>
      </c>
      <c r="V23" s="237" t="s">
        <v>305</v>
      </c>
      <c r="X23" s="232" t="s">
        <v>294</v>
      </c>
      <c r="Y23" s="234">
        <v>66</v>
      </c>
      <c r="Z23" s="234">
        <v>107</v>
      </c>
      <c r="AA23" s="234" t="s">
        <v>273</v>
      </c>
      <c r="AB23" s="232" t="s">
        <v>295</v>
      </c>
      <c r="AD23" s="232" t="s">
        <v>327</v>
      </c>
      <c r="AE23" s="234" t="s">
        <v>126</v>
      </c>
      <c r="AF23" s="232" t="s">
        <v>328</v>
      </c>
    </row>
    <row r="24" spans="1:32" ht="12.75">
      <c r="A24" t="s">
        <v>329</v>
      </c>
      <c r="B24" s="218">
        <v>15.8</v>
      </c>
      <c r="C24" s="219">
        <f t="shared" si="0"/>
        <v>1064.5680392047325</v>
      </c>
      <c r="D24" s="218">
        <v>6.8</v>
      </c>
      <c r="E24" s="220">
        <v>18</v>
      </c>
      <c r="F24" s="218">
        <v>18</v>
      </c>
      <c r="H24" s="232" t="s">
        <v>311</v>
      </c>
      <c r="I24" s="233">
        <v>73.58</v>
      </c>
      <c r="J24" s="233">
        <v>3.7</v>
      </c>
      <c r="K24" s="233">
        <v>100</v>
      </c>
      <c r="M24" s="232" t="s">
        <v>278</v>
      </c>
      <c r="N24" s="234">
        <v>99.5</v>
      </c>
      <c r="O24" s="234">
        <v>95</v>
      </c>
      <c r="P24" s="233">
        <v>60</v>
      </c>
      <c r="R24" s="237" t="s">
        <v>313</v>
      </c>
      <c r="S24" s="236">
        <v>15</v>
      </c>
      <c r="T24" s="237" t="s">
        <v>314</v>
      </c>
      <c r="U24" s="237" t="s">
        <v>315</v>
      </c>
      <c r="V24" s="237" t="s">
        <v>220</v>
      </c>
      <c r="X24" s="232" t="s">
        <v>306</v>
      </c>
      <c r="Y24" s="234">
        <v>82</v>
      </c>
      <c r="Z24" s="234">
        <v>107.5</v>
      </c>
      <c r="AA24" s="234">
        <v>20</v>
      </c>
      <c r="AB24" s="232" t="s">
        <v>307</v>
      </c>
      <c r="AD24" s="232" t="s">
        <v>337</v>
      </c>
      <c r="AE24" s="234" t="s">
        <v>297</v>
      </c>
      <c r="AF24" s="232" t="s">
        <v>338</v>
      </c>
    </row>
    <row r="25" spans="1:32" ht="12.75">
      <c r="A25" t="s">
        <v>339</v>
      </c>
      <c r="B25" s="218">
        <v>10.7</v>
      </c>
      <c r="C25" s="219">
        <f t="shared" si="0"/>
        <v>1042.9393269517334</v>
      </c>
      <c r="D25" s="218">
        <v>4.5</v>
      </c>
      <c r="E25" s="220">
        <v>19</v>
      </c>
      <c r="F25" s="218">
        <v>30</v>
      </c>
      <c r="H25" s="232" t="s">
        <v>320</v>
      </c>
      <c r="I25" s="233">
        <v>74</v>
      </c>
      <c r="J25" s="233">
        <v>4</v>
      </c>
      <c r="K25" s="233">
        <v>100</v>
      </c>
      <c r="M25" s="232" t="s">
        <v>289</v>
      </c>
      <c r="N25" s="234">
        <v>99.5</v>
      </c>
      <c r="O25" s="234">
        <v>57</v>
      </c>
      <c r="P25" s="233">
        <v>65</v>
      </c>
      <c r="R25" s="237" t="s">
        <v>321</v>
      </c>
      <c r="S25" s="236">
        <v>15</v>
      </c>
      <c r="T25" s="237" t="s">
        <v>322</v>
      </c>
      <c r="U25" s="237" t="s">
        <v>323</v>
      </c>
      <c r="V25" s="237" t="s">
        <v>324</v>
      </c>
      <c r="X25" s="232" t="s">
        <v>316</v>
      </c>
      <c r="Y25" s="234">
        <v>80</v>
      </c>
      <c r="Z25" s="234">
        <v>107.5</v>
      </c>
      <c r="AA25" s="234">
        <v>20</v>
      </c>
      <c r="AB25" s="232" t="s">
        <v>317</v>
      </c>
      <c r="AD25" s="232" t="s">
        <v>347</v>
      </c>
      <c r="AE25" s="234" t="s">
        <v>126</v>
      </c>
      <c r="AF25" s="232" t="s">
        <v>348</v>
      </c>
    </row>
    <row r="26" spans="1:32" ht="12.75">
      <c r="A26" t="s">
        <v>349</v>
      </c>
      <c r="B26" s="218">
        <v>11.4</v>
      </c>
      <c r="C26" s="219">
        <f t="shared" si="0"/>
        <v>1045.861755049711</v>
      </c>
      <c r="D26" s="218">
        <v>4.8</v>
      </c>
      <c r="E26" s="220">
        <v>4</v>
      </c>
      <c r="F26" s="218">
        <v>38</v>
      </c>
      <c r="H26" s="232" t="s">
        <v>330</v>
      </c>
      <c r="I26" s="233">
        <v>73.58</v>
      </c>
      <c r="J26" s="233">
        <v>4</v>
      </c>
      <c r="K26" s="233">
        <v>100</v>
      </c>
      <c r="M26" s="232" t="s">
        <v>301</v>
      </c>
      <c r="N26" s="234">
        <v>99.5</v>
      </c>
      <c r="O26" s="234">
        <v>8</v>
      </c>
      <c r="P26" s="233">
        <v>75</v>
      </c>
      <c r="R26" s="237" t="s">
        <v>331</v>
      </c>
      <c r="S26" s="236">
        <v>10.2</v>
      </c>
      <c r="T26" s="237" t="s">
        <v>332</v>
      </c>
      <c r="U26" s="237" t="s">
        <v>333</v>
      </c>
      <c r="V26" s="237" t="s">
        <v>334</v>
      </c>
      <c r="X26" s="232" t="s">
        <v>325</v>
      </c>
      <c r="Y26" s="234">
        <v>82</v>
      </c>
      <c r="Z26" s="234">
        <v>107.5</v>
      </c>
      <c r="AA26" s="234" t="s">
        <v>273</v>
      </c>
      <c r="AB26" s="232" t="s">
        <v>326</v>
      </c>
      <c r="AD26" s="232" t="s">
        <v>356</v>
      </c>
      <c r="AE26" s="234" t="s">
        <v>148</v>
      </c>
      <c r="AF26" s="232" t="s">
        <v>357</v>
      </c>
    </row>
    <row r="27" spans="1:32" ht="12.75">
      <c r="A27" t="s">
        <v>358</v>
      </c>
      <c r="B27" s="218">
        <v>12.8</v>
      </c>
      <c r="C27" s="219">
        <f t="shared" si="0"/>
        <v>1051.7502584278532</v>
      </c>
      <c r="D27" s="218">
        <v>5.4</v>
      </c>
      <c r="E27" s="220">
        <v>9</v>
      </c>
      <c r="F27" s="218">
        <v>15</v>
      </c>
      <c r="H27" s="232" t="s">
        <v>340</v>
      </c>
      <c r="I27" s="233">
        <v>73.58</v>
      </c>
      <c r="J27" s="233">
        <v>4</v>
      </c>
      <c r="K27" s="233">
        <v>100</v>
      </c>
      <c r="M27" s="232" t="s">
        <v>312</v>
      </c>
      <c r="N27" s="234">
        <v>99.5</v>
      </c>
      <c r="O27" s="234">
        <v>79</v>
      </c>
      <c r="P27" s="233">
        <v>75</v>
      </c>
      <c r="R27" s="237" t="s">
        <v>341</v>
      </c>
      <c r="S27" s="236">
        <v>11</v>
      </c>
      <c r="T27" s="237" t="s">
        <v>342</v>
      </c>
      <c r="U27" s="237" t="s">
        <v>343</v>
      </c>
      <c r="V27" s="237" t="s">
        <v>344</v>
      </c>
      <c r="X27" s="232" t="s">
        <v>335</v>
      </c>
      <c r="Y27" s="234">
        <v>83</v>
      </c>
      <c r="Z27" s="234">
        <v>107.5</v>
      </c>
      <c r="AA27" s="234">
        <v>20</v>
      </c>
      <c r="AB27" s="232" t="s">
        <v>336</v>
      </c>
      <c r="AD27" s="232" t="s">
        <v>365</v>
      </c>
      <c r="AE27" s="234" t="s">
        <v>192</v>
      </c>
      <c r="AF27" s="232" t="s">
        <v>366</v>
      </c>
    </row>
    <row r="28" spans="1:32" ht="12.75">
      <c r="A28" t="s">
        <v>367</v>
      </c>
      <c r="B28" s="218">
        <v>16.5</v>
      </c>
      <c r="C28" s="219">
        <f t="shared" si="0"/>
        <v>1067.5987302500323</v>
      </c>
      <c r="D28" s="218">
        <v>7.7</v>
      </c>
      <c r="E28" s="220">
        <v>76</v>
      </c>
      <c r="F28" s="218">
        <v>26</v>
      </c>
      <c r="H28" s="232" t="s">
        <v>350</v>
      </c>
      <c r="I28" s="233">
        <v>85</v>
      </c>
      <c r="J28" s="233">
        <v>0.3</v>
      </c>
      <c r="K28" s="233">
        <v>100</v>
      </c>
      <c r="M28" s="232" t="s">
        <v>216</v>
      </c>
      <c r="N28" s="234">
        <v>97.38</v>
      </c>
      <c r="O28" s="234">
        <v>6</v>
      </c>
      <c r="P28" s="233">
        <v>100</v>
      </c>
      <c r="R28" s="237" t="s">
        <v>351</v>
      </c>
      <c r="S28" s="236">
        <v>6</v>
      </c>
      <c r="T28" s="237" t="s">
        <v>352</v>
      </c>
      <c r="U28" s="237" t="s">
        <v>353</v>
      </c>
      <c r="V28" s="237" t="s">
        <v>354</v>
      </c>
      <c r="X28" s="232" t="s">
        <v>345</v>
      </c>
      <c r="Y28" s="234">
        <v>82</v>
      </c>
      <c r="Z28" s="234">
        <v>107.5</v>
      </c>
      <c r="AA28" s="234">
        <v>21</v>
      </c>
      <c r="AB28" s="232" t="s">
        <v>346</v>
      </c>
      <c r="AD28" s="232" t="s">
        <v>375</v>
      </c>
      <c r="AE28" s="234" t="s">
        <v>376</v>
      </c>
      <c r="AF28" s="232" t="s">
        <v>377</v>
      </c>
    </row>
    <row r="29" spans="1:32" ht="12.75">
      <c r="A29" t="s">
        <v>378</v>
      </c>
      <c r="B29" s="218">
        <v>12</v>
      </c>
      <c r="C29" s="219">
        <f t="shared" si="0"/>
        <v>1048.378240435017</v>
      </c>
      <c r="D29" s="218">
        <v>5</v>
      </c>
      <c r="E29" s="220">
        <v>22</v>
      </c>
      <c r="F29" s="218">
        <v>24</v>
      </c>
      <c r="H29" s="232" t="s">
        <v>359</v>
      </c>
      <c r="I29" s="233">
        <v>64.92</v>
      </c>
      <c r="J29" s="233">
        <v>1000</v>
      </c>
      <c r="K29" s="233">
        <v>75</v>
      </c>
      <c r="M29" s="260" t="s">
        <v>613</v>
      </c>
      <c r="N29" s="234">
        <v>77</v>
      </c>
      <c r="O29" s="234">
        <v>3</v>
      </c>
      <c r="P29" s="233">
        <v>75</v>
      </c>
      <c r="R29" s="237" t="s">
        <v>360</v>
      </c>
      <c r="S29" s="236">
        <v>10</v>
      </c>
      <c r="T29" s="237" t="s">
        <v>361</v>
      </c>
      <c r="U29" s="237" t="s">
        <v>362</v>
      </c>
      <c r="V29" s="237" t="s">
        <v>363</v>
      </c>
      <c r="X29" s="232" t="s">
        <v>7</v>
      </c>
      <c r="Y29" s="234">
        <v>82</v>
      </c>
      <c r="Z29" s="234">
        <v>107.5</v>
      </c>
      <c r="AA29" s="234">
        <v>21</v>
      </c>
      <c r="AB29" s="232" t="s">
        <v>355</v>
      </c>
      <c r="AD29" s="232" t="s">
        <v>386</v>
      </c>
      <c r="AE29" s="234" t="s">
        <v>126</v>
      </c>
      <c r="AF29" s="232" t="s">
        <v>387</v>
      </c>
    </row>
    <row r="30" spans="1:32" ht="12.75">
      <c r="A30" t="s">
        <v>388</v>
      </c>
      <c r="B30" s="218">
        <v>14</v>
      </c>
      <c r="C30" s="219">
        <f t="shared" si="0"/>
        <v>1056.8444123769775</v>
      </c>
      <c r="D30" s="218">
        <v>6</v>
      </c>
      <c r="E30" s="220">
        <v>10</v>
      </c>
      <c r="F30" s="218">
        <v>28</v>
      </c>
      <c r="H30" s="232" t="s">
        <v>368</v>
      </c>
      <c r="I30" s="233">
        <v>80.5</v>
      </c>
      <c r="J30" s="233">
        <v>3</v>
      </c>
      <c r="K30" s="233">
        <v>100</v>
      </c>
      <c r="M30" s="232" t="s">
        <v>227</v>
      </c>
      <c r="N30" s="234">
        <v>73.58</v>
      </c>
      <c r="O30" s="234">
        <v>30</v>
      </c>
      <c r="P30" s="233">
        <v>100</v>
      </c>
      <c r="R30" s="237" t="s">
        <v>369</v>
      </c>
      <c r="S30" s="236">
        <v>9</v>
      </c>
      <c r="T30" s="237" t="s">
        <v>370</v>
      </c>
      <c r="U30" s="237" t="s">
        <v>371</v>
      </c>
      <c r="V30" s="237" t="s">
        <v>372</v>
      </c>
      <c r="X30" s="232" t="s">
        <v>325</v>
      </c>
      <c r="Y30" s="234">
        <v>82</v>
      </c>
      <c r="Z30" s="234">
        <v>107.5</v>
      </c>
      <c r="AA30" s="234" t="s">
        <v>364</v>
      </c>
      <c r="AB30" s="232" t="s">
        <v>326</v>
      </c>
      <c r="AD30" s="232" t="s">
        <v>396</v>
      </c>
      <c r="AE30" s="234" t="s">
        <v>126</v>
      </c>
      <c r="AF30" s="232" t="s">
        <v>397</v>
      </c>
    </row>
    <row r="31" spans="1:32" ht="12.75">
      <c r="A31" t="s">
        <v>398</v>
      </c>
      <c r="B31" s="218">
        <v>18.7</v>
      </c>
      <c r="C31" s="219">
        <f t="shared" si="0"/>
        <v>1077.224090455592</v>
      </c>
      <c r="D31" s="218">
        <v>8.1</v>
      </c>
      <c r="E31" s="220">
        <v>35</v>
      </c>
      <c r="F31" s="218">
        <v>60</v>
      </c>
      <c r="H31" s="232" t="s">
        <v>379</v>
      </c>
      <c r="I31" s="233">
        <v>84.4</v>
      </c>
      <c r="J31" s="233">
        <v>4</v>
      </c>
      <c r="K31" s="233">
        <v>100</v>
      </c>
      <c r="M31" s="260"/>
      <c r="N31" s="234"/>
      <c r="O31" s="234"/>
      <c r="P31" s="233"/>
      <c r="R31" s="237" t="s">
        <v>380</v>
      </c>
      <c r="S31" s="236">
        <v>7</v>
      </c>
      <c r="T31" s="237" t="s">
        <v>381</v>
      </c>
      <c r="U31" s="237" t="s">
        <v>382</v>
      </c>
      <c r="V31" s="237" t="s">
        <v>383</v>
      </c>
      <c r="X31" s="232" t="s">
        <v>373</v>
      </c>
      <c r="Y31" s="234">
        <v>82</v>
      </c>
      <c r="Z31" s="234">
        <v>107.5</v>
      </c>
      <c r="AA31" s="234">
        <v>21</v>
      </c>
      <c r="AB31" s="232" t="s">
        <v>374</v>
      </c>
      <c r="AD31" s="232"/>
      <c r="AE31" s="234"/>
      <c r="AF31" s="232"/>
    </row>
    <row r="32" spans="1:32" ht="12.75">
      <c r="A32" t="s">
        <v>406</v>
      </c>
      <c r="B32" s="218">
        <v>17</v>
      </c>
      <c r="C32" s="219">
        <f t="shared" si="0"/>
        <v>1069.7728872000203</v>
      </c>
      <c r="D32" s="218">
        <v>8.5</v>
      </c>
      <c r="E32" s="220">
        <v>11</v>
      </c>
      <c r="F32" s="218">
        <v>32</v>
      </c>
      <c r="H32" s="232" t="s">
        <v>389</v>
      </c>
      <c r="I32" s="233">
        <v>77</v>
      </c>
      <c r="J32" s="233">
        <v>4.006847491642186</v>
      </c>
      <c r="K32" s="233">
        <v>98</v>
      </c>
      <c r="M32" s="232"/>
      <c r="N32" s="234"/>
      <c r="O32" s="234"/>
      <c r="P32" s="233"/>
      <c r="R32" s="237" t="s">
        <v>390</v>
      </c>
      <c r="S32" s="236">
        <v>7</v>
      </c>
      <c r="T32" s="237" t="s">
        <v>391</v>
      </c>
      <c r="U32" s="237" t="s">
        <v>392</v>
      </c>
      <c r="V32" s="237" t="s">
        <v>393</v>
      </c>
      <c r="X32" s="232" t="s">
        <v>384</v>
      </c>
      <c r="Y32" s="234">
        <v>84</v>
      </c>
      <c r="Z32" s="234">
        <v>107.5</v>
      </c>
      <c r="AA32" s="234">
        <v>23</v>
      </c>
      <c r="AB32" s="232" t="s">
        <v>385</v>
      </c>
      <c r="AD32" s="232"/>
      <c r="AE32" s="234"/>
      <c r="AF32" s="232"/>
    </row>
    <row r="33" spans="1:32" ht="12.75">
      <c r="A33" t="s">
        <v>414</v>
      </c>
      <c r="B33" s="218">
        <v>16.3</v>
      </c>
      <c r="C33" s="219">
        <f t="shared" si="0"/>
        <v>1066.731259523661</v>
      </c>
      <c r="D33" s="218">
        <v>7.5</v>
      </c>
      <c r="E33" s="220">
        <v>15</v>
      </c>
      <c r="F33" s="218">
        <v>38</v>
      </c>
      <c r="H33" s="232" t="s">
        <v>399</v>
      </c>
      <c r="I33" s="233">
        <v>80.07</v>
      </c>
      <c r="J33" s="233">
        <v>5</v>
      </c>
      <c r="K33" s="233">
        <v>99.7</v>
      </c>
      <c r="M33" s="232"/>
      <c r="N33" s="234"/>
      <c r="O33" s="234"/>
      <c r="P33" s="233"/>
      <c r="R33" s="237" t="s">
        <v>400</v>
      </c>
      <c r="S33" s="236">
        <v>4.5</v>
      </c>
      <c r="T33" s="237" t="s">
        <v>401</v>
      </c>
      <c r="U33" s="237" t="s">
        <v>402</v>
      </c>
      <c r="V33" s="237" t="s">
        <v>403</v>
      </c>
      <c r="X33" s="232" t="s">
        <v>394</v>
      </c>
      <c r="Y33" s="234">
        <v>84</v>
      </c>
      <c r="Z33" s="234">
        <v>107.5</v>
      </c>
      <c r="AA33" s="234">
        <v>23</v>
      </c>
      <c r="AB33" s="232" t="s">
        <v>395</v>
      </c>
      <c r="AD33" s="232"/>
      <c r="AE33" s="234"/>
      <c r="AF33" s="232"/>
    </row>
    <row r="34" spans="1:32" ht="12.75">
      <c r="A34" t="s">
        <v>422</v>
      </c>
      <c r="B34" s="218">
        <v>12.6</v>
      </c>
      <c r="C34" s="219">
        <f t="shared" si="0"/>
        <v>1050.9054565680099</v>
      </c>
      <c r="D34" s="218">
        <v>5.3</v>
      </c>
      <c r="E34" s="220">
        <v>9</v>
      </c>
      <c r="F34" s="218">
        <v>18</v>
      </c>
      <c r="H34" s="232" t="s">
        <v>407</v>
      </c>
      <c r="I34" s="233">
        <v>85</v>
      </c>
      <c r="J34" s="233">
        <v>6</v>
      </c>
      <c r="K34" s="233">
        <v>100</v>
      </c>
      <c r="M34" s="232"/>
      <c r="N34" s="234"/>
      <c r="O34" s="234"/>
      <c r="P34" s="233"/>
      <c r="R34" s="237" t="s">
        <v>574</v>
      </c>
      <c r="S34" s="236">
        <v>13</v>
      </c>
      <c r="T34" s="237" t="s">
        <v>571</v>
      </c>
      <c r="U34" s="237" t="s">
        <v>572</v>
      </c>
      <c r="V34" s="237" t="s">
        <v>573</v>
      </c>
      <c r="X34" s="232" t="s">
        <v>404</v>
      </c>
      <c r="Y34" s="234">
        <v>90</v>
      </c>
      <c r="Z34" s="234">
        <v>107.5</v>
      </c>
      <c r="AA34" s="234">
        <v>24</v>
      </c>
      <c r="AB34" s="232" t="s">
        <v>405</v>
      </c>
      <c r="AD34" s="232"/>
      <c r="AE34" s="234"/>
      <c r="AF34" s="232"/>
    </row>
    <row r="35" spans="1:32" ht="12.75">
      <c r="A35" t="s">
        <v>430</v>
      </c>
      <c r="B35" s="218">
        <v>11.9</v>
      </c>
      <c r="C35" s="219">
        <f t="shared" si="0"/>
        <v>1047.9580828623382</v>
      </c>
      <c r="D35" s="218">
        <v>5</v>
      </c>
      <c r="E35" s="220">
        <v>3</v>
      </c>
      <c r="F35" s="218">
        <v>27</v>
      </c>
      <c r="H35" s="232" t="s">
        <v>415</v>
      </c>
      <c r="I35" s="233">
        <v>69.25</v>
      </c>
      <c r="J35" s="233">
        <v>6</v>
      </c>
      <c r="K35" s="233">
        <v>100</v>
      </c>
      <c r="M35" s="260" t="s">
        <v>700</v>
      </c>
      <c r="N35" s="234">
        <v>100</v>
      </c>
      <c r="O35" s="234">
        <v>9000</v>
      </c>
      <c r="P35" s="233">
        <v>0</v>
      </c>
      <c r="R35" s="237" t="s">
        <v>408</v>
      </c>
      <c r="S35" s="236">
        <v>5</v>
      </c>
      <c r="T35" s="237" t="s">
        <v>409</v>
      </c>
      <c r="U35" s="237" t="s">
        <v>410</v>
      </c>
      <c r="V35" s="237" t="s">
        <v>411</v>
      </c>
      <c r="X35" s="232" t="s">
        <v>412</v>
      </c>
      <c r="Y35" s="234">
        <v>75</v>
      </c>
      <c r="Z35" s="234">
        <v>107</v>
      </c>
      <c r="AA35" s="234">
        <v>16</v>
      </c>
      <c r="AB35" s="232" t="s">
        <v>413</v>
      </c>
      <c r="AD35" s="232"/>
      <c r="AE35" s="234"/>
      <c r="AF35" s="232"/>
    </row>
    <row r="36" spans="1:32" ht="12.75" customHeight="1">
      <c r="A36" t="s">
        <v>438</v>
      </c>
      <c r="B36" s="218">
        <v>11.9</v>
      </c>
      <c r="C36" s="219">
        <f t="shared" si="0"/>
        <v>1047.9580828623382</v>
      </c>
      <c r="D36" s="218">
        <v>4.6</v>
      </c>
      <c r="E36" s="220">
        <v>150</v>
      </c>
      <c r="F36" s="218">
        <v>45</v>
      </c>
      <c r="H36" s="232" t="s">
        <v>423</v>
      </c>
      <c r="I36" s="233">
        <v>80.07</v>
      </c>
      <c r="J36" s="233">
        <v>7</v>
      </c>
      <c r="K36" s="233">
        <v>100</v>
      </c>
      <c r="M36" s="232"/>
      <c r="N36" s="234"/>
      <c r="O36" s="234"/>
      <c r="P36" s="233"/>
      <c r="R36" s="237" t="s">
        <v>416</v>
      </c>
      <c r="S36" s="236">
        <v>4</v>
      </c>
      <c r="T36" s="237" t="s">
        <v>417</v>
      </c>
      <c r="U36" s="237" t="s">
        <v>418</v>
      </c>
      <c r="V36" s="237" t="s">
        <v>419</v>
      </c>
      <c r="X36" s="232" t="s">
        <v>420</v>
      </c>
      <c r="Y36" s="234">
        <v>76</v>
      </c>
      <c r="Z36" s="234">
        <v>107</v>
      </c>
      <c r="AA36" s="234">
        <v>19</v>
      </c>
      <c r="AB36" s="232" t="s">
        <v>421</v>
      </c>
      <c r="AD36" s="232"/>
      <c r="AE36" s="234"/>
      <c r="AF36" s="232"/>
    </row>
    <row r="37" spans="1:32" ht="12.75">
      <c r="A37" t="s">
        <v>445</v>
      </c>
      <c r="B37" s="218">
        <v>17.6</v>
      </c>
      <c r="C37" s="219">
        <f t="shared" si="0"/>
        <v>1072.3922581086733</v>
      </c>
      <c r="D37" s="218">
        <v>7.2</v>
      </c>
      <c r="E37" s="220">
        <v>150</v>
      </c>
      <c r="F37" s="218">
        <v>65</v>
      </c>
      <c r="H37" s="232" t="s">
        <v>431</v>
      </c>
      <c r="I37" s="233">
        <v>84.4</v>
      </c>
      <c r="J37" s="233">
        <v>20</v>
      </c>
      <c r="K37" s="233">
        <v>99.9</v>
      </c>
      <c r="M37" s="232"/>
      <c r="N37" s="234"/>
      <c r="O37" s="234"/>
      <c r="P37" s="233"/>
      <c r="R37" s="237" t="s">
        <v>424</v>
      </c>
      <c r="S37" s="236">
        <v>4</v>
      </c>
      <c r="T37" s="237" t="s">
        <v>425</v>
      </c>
      <c r="U37" s="237" t="s">
        <v>426</v>
      </c>
      <c r="V37" s="237" t="s">
        <v>427</v>
      </c>
      <c r="X37" s="232" t="s">
        <v>428</v>
      </c>
      <c r="Y37" s="234">
        <v>75</v>
      </c>
      <c r="Z37" s="234">
        <v>107</v>
      </c>
      <c r="AA37" s="234">
        <v>18</v>
      </c>
      <c r="AB37" s="232" t="s">
        <v>429</v>
      </c>
      <c r="AD37" s="232"/>
      <c r="AE37" s="234"/>
      <c r="AF37" s="232"/>
    </row>
    <row r="38" spans="1:32" ht="12.75" customHeight="1">
      <c r="A38" t="s">
        <v>453</v>
      </c>
      <c r="B38" s="218">
        <v>11.9</v>
      </c>
      <c r="C38" s="219">
        <f t="shared" si="0"/>
        <v>1047.9580828623382</v>
      </c>
      <c r="D38" s="218">
        <v>5</v>
      </c>
      <c r="E38" s="220">
        <v>5</v>
      </c>
      <c r="F38" s="218">
        <v>28</v>
      </c>
      <c r="H38" s="232" t="s">
        <v>439</v>
      </c>
      <c r="I38" s="233">
        <v>70</v>
      </c>
      <c r="J38" s="233">
        <v>25</v>
      </c>
      <c r="K38" s="233">
        <v>96</v>
      </c>
      <c r="M38" s="232"/>
      <c r="N38" s="234"/>
      <c r="O38" s="234"/>
      <c r="P38" s="233"/>
      <c r="R38" s="237" t="s">
        <v>432</v>
      </c>
      <c r="S38" s="236">
        <v>3.8</v>
      </c>
      <c r="T38" s="237" t="s">
        <v>433</v>
      </c>
      <c r="U38" s="237" t="s">
        <v>434</v>
      </c>
      <c r="V38" s="237" t="s">
        <v>435</v>
      </c>
      <c r="X38" s="232" t="s">
        <v>436</v>
      </c>
      <c r="Y38" s="234">
        <v>75</v>
      </c>
      <c r="Z38" s="234">
        <v>107</v>
      </c>
      <c r="AA38" s="234">
        <v>18</v>
      </c>
      <c r="AB38" s="232" t="s">
        <v>437</v>
      </c>
      <c r="AD38" s="232"/>
      <c r="AE38" s="234"/>
      <c r="AF38" s="232"/>
    </row>
    <row r="39" spans="1:32" ht="12.75">
      <c r="A39" t="s">
        <v>461</v>
      </c>
      <c r="B39" s="218">
        <v>11.9</v>
      </c>
      <c r="C39" s="219">
        <f t="shared" si="0"/>
        <v>1047.9580828623382</v>
      </c>
      <c r="D39" s="218">
        <v>5</v>
      </c>
      <c r="E39" s="220">
        <v>8</v>
      </c>
      <c r="F39" s="218">
        <v>18</v>
      </c>
      <c r="H39" s="232" t="s">
        <v>446</v>
      </c>
      <c r="I39" s="233">
        <v>70</v>
      </c>
      <c r="J39" s="233">
        <v>40</v>
      </c>
      <c r="K39" s="233">
        <v>95</v>
      </c>
      <c r="M39" s="232"/>
      <c r="N39" s="234"/>
      <c r="O39" s="234"/>
      <c r="P39" s="233"/>
      <c r="R39" s="237" t="s">
        <v>440</v>
      </c>
      <c r="S39" s="236">
        <v>11</v>
      </c>
      <c r="T39" s="237" t="s">
        <v>441</v>
      </c>
      <c r="U39" s="237" t="s">
        <v>442</v>
      </c>
      <c r="V39" s="237" t="s">
        <v>220</v>
      </c>
      <c r="X39" s="232" t="s">
        <v>443</v>
      </c>
      <c r="Y39" s="234">
        <v>73</v>
      </c>
      <c r="Z39" s="234">
        <v>107</v>
      </c>
      <c r="AA39" s="234">
        <v>19</v>
      </c>
      <c r="AB39" s="232" t="s">
        <v>444</v>
      </c>
      <c r="AD39" s="232"/>
      <c r="AE39" s="234"/>
      <c r="AF39" s="232"/>
    </row>
    <row r="40" spans="1:32" ht="12.75">
      <c r="A40" t="s">
        <v>468</v>
      </c>
      <c r="B40" s="218">
        <v>12.3</v>
      </c>
      <c r="C40" s="219">
        <f t="shared" si="0"/>
        <v>1049.6405028728232</v>
      </c>
      <c r="D40" s="218">
        <v>5.2</v>
      </c>
      <c r="E40" s="220">
        <v>3</v>
      </c>
      <c r="F40" s="218">
        <v>21</v>
      </c>
      <c r="H40" s="232" t="s">
        <v>454</v>
      </c>
      <c r="I40" s="233">
        <v>70</v>
      </c>
      <c r="J40" s="233">
        <v>60</v>
      </c>
      <c r="K40" s="233">
        <v>94</v>
      </c>
      <c r="M40" s="232"/>
      <c r="N40" s="234"/>
      <c r="O40" s="234"/>
      <c r="P40" s="233"/>
      <c r="R40" s="237" t="s">
        <v>447</v>
      </c>
      <c r="S40" s="236">
        <v>4</v>
      </c>
      <c r="T40" s="237" t="s">
        <v>448</v>
      </c>
      <c r="U40" s="237" t="s">
        <v>449</v>
      </c>
      <c r="V40" s="237" t="s">
        <v>450</v>
      </c>
      <c r="X40" s="232" t="s">
        <v>451</v>
      </c>
      <c r="Y40" s="234">
        <v>74</v>
      </c>
      <c r="Z40" s="234">
        <v>107</v>
      </c>
      <c r="AA40" s="234">
        <v>20</v>
      </c>
      <c r="AB40" s="232" t="s">
        <v>452</v>
      </c>
      <c r="AD40" s="232"/>
      <c r="AE40" s="234"/>
      <c r="AF40" s="232"/>
    </row>
    <row r="41" spans="1:32" ht="12.75">
      <c r="A41" t="s">
        <v>476</v>
      </c>
      <c r="B41" s="218">
        <v>12.8</v>
      </c>
      <c r="C41" s="219">
        <f t="shared" si="0"/>
        <v>1051.7502584278532</v>
      </c>
      <c r="D41" s="218">
        <v>5.3</v>
      </c>
      <c r="E41" s="220">
        <v>60</v>
      </c>
      <c r="F41" s="218">
        <v>20</v>
      </c>
      <c r="H41" s="232" t="s">
        <v>462</v>
      </c>
      <c r="I41" s="233">
        <v>80.07</v>
      </c>
      <c r="J41" s="233">
        <v>70</v>
      </c>
      <c r="K41" s="233">
        <v>99.5</v>
      </c>
      <c r="M41" s="232"/>
      <c r="N41" s="234"/>
      <c r="O41" s="234"/>
      <c r="P41" s="233"/>
      <c r="R41" s="237" t="s">
        <v>455</v>
      </c>
      <c r="S41" s="236">
        <v>5.5</v>
      </c>
      <c r="T41" s="237" t="s">
        <v>456</v>
      </c>
      <c r="U41" s="237" t="s">
        <v>457</v>
      </c>
      <c r="V41" s="237" t="s">
        <v>458</v>
      </c>
      <c r="X41" s="232" t="s">
        <v>459</v>
      </c>
      <c r="Y41" s="234">
        <v>70</v>
      </c>
      <c r="Z41" s="234">
        <v>106.5</v>
      </c>
      <c r="AA41" s="234">
        <v>21</v>
      </c>
      <c r="AB41" s="232" t="s">
        <v>460</v>
      </c>
      <c r="AD41" s="232"/>
      <c r="AE41" s="234"/>
      <c r="AF41" s="232"/>
    </row>
    <row r="42" spans="1:32" ht="12.75">
      <c r="A42" t="s">
        <v>484</v>
      </c>
      <c r="B42" s="218">
        <v>12.8</v>
      </c>
      <c r="C42" s="219">
        <f t="shared" si="0"/>
        <v>1051.7502584278532</v>
      </c>
      <c r="D42" s="218">
        <v>5.3</v>
      </c>
      <c r="E42" s="220">
        <v>60</v>
      </c>
      <c r="F42" s="218">
        <v>20</v>
      </c>
      <c r="H42" s="232" t="s">
        <v>469</v>
      </c>
      <c r="I42" s="233">
        <v>65</v>
      </c>
      <c r="J42" s="233">
        <v>800</v>
      </c>
      <c r="K42" s="233">
        <v>75</v>
      </c>
      <c r="M42" s="232"/>
      <c r="N42" s="234"/>
      <c r="O42" s="234"/>
      <c r="P42" s="233"/>
      <c r="R42" s="237" t="s">
        <v>463</v>
      </c>
      <c r="S42" s="236">
        <v>6.5</v>
      </c>
      <c r="T42" s="237" t="s">
        <v>464</v>
      </c>
      <c r="U42" s="237" t="s">
        <v>371</v>
      </c>
      <c r="V42" s="237" t="s">
        <v>465</v>
      </c>
      <c r="X42" s="232" t="s">
        <v>466</v>
      </c>
      <c r="Y42" s="234">
        <v>70</v>
      </c>
      <c r="Z42" s="234">
        <v>106.5</v>
      </c>
      <c r="AA42" s="234">
        <v>21</v>
      </c>
      <c r="AB42" s="232" t="s">
        <v>467</v>
      </c>
      <c r="AD42" s="232"/>
      <c r="AE42" s="234"/>
      <c r="AF42" s="232"/>
    </row>
    <row r="43" spans="1:32" ht="12.75">
      <c r="A43" t="s">
        <v>488</v>
      </c>
      <c r="B43" s="218">
        <v>12.8</v>
      </c>
      <c r="C43" s="219">
        <f t="shared" si="0"/>
        <v>1051.7502584278532</v>
      </c>
      <c r="D43" s="218">
        <v>5.4</v>
      </c>
      <c r="E43" s="220">
        <v>11</v>
      </c>
      <c r="F43" s="218">
        <v>24</v>
      </c>
      <c r="H43" s="232" t="s">
        <v>477</v>
      </c>
      <c r="I43" s="233">
        <v>65</v>
      </c>
      <c r="J43" s="233">
        <v>900</v>
      </c>
      <c r="K43" s="233">
        <v>75</v>
      </c>
      <c r="M43" s="232"/>
      <c r="N43" s="234"/>
      <c r="O43" s="234"/>
      <c r="P43" s="233"/>
      <c r="R43" s="237" t="s">
        <v>470</v>
      </c>
      <c r="S43" s="236">
        <v>5</v>
      </c>
      <c r="T43" s="237" t="s">
        <v>471</v>
      </c>
      <c r="U43" s="237" t="s">
        <v>472</v>
      </c>
      <c r="V43" s="237" t="s">
        <v>473</v>
      </c>
      <c r="X43" s="232" t="s">
        <v>474</v>
      </c>
      <c r="Y43" s="234">
        <v>86</v>
      </c>
      <c r="Z43" s="234">
        <v>107.5</v>
      </c>
      <c r="AA43" s="234">
        <v>21</v>
      </c>
      <c r="AB43" s="232" t="s">
        <v>475</v>
      </c>
      <c r="AD43" s="232"/>
      <c r="AE43" s="234"/>
      <c r="AF43" s="232"/>
    </row>
    <row r="44" spans="1:32" ht="12.75">
      <c r="A44" t="s">
        <v>491</v>
      </c>
      <c r="B44" s="218">
        <v>15.3</v>
      </c>
      <c r="C44" s="219">
        <f t="shared" si="0"/>
        <v>1062.4125803202487</v>
      </c>
      <c r="D44" s="218">
        <v>6.6</v>
      </c>
      <c r="E44" s="220">
        <v>50</v>
      </c>
      <c r="F44" s="218">
        <v>23</v>
      </c>
      <c r="H44" s="232" t="s">
        <v>485</v>
      </c>
      <c r="I44" s="233">
        <v>69.25</v>
      </c>
      <c r="J44" s="233">
        <v>1200</v>
      </c>
      <c r="K44" s="233">
        <v>70</v>
      </c>
      <c r="M44" s="232"/>
      <c r="N44" s="234"/>
      <c r="O44" s="234"/>
      <c r="P44" s="233"/>
      <c r="R44" s="237" t="s">
        <v>478</v>
      </c>
      <c r="S44" s="236">
        <v>10</v>
      </c>
      <c r="T44" s="237" t="s">
        <v>479</v>
      </c>
      <c r="U44" s="237" t="s">
        <v>480</v>
      </c>
      <c r="V44" s="237" t="s">
        <v>481</v>
      </c>
      <c r="X44" s="232" t="s">
        <v>482</v>
      </c>
      <c r="Y44" s="234">
        <v>74</v>
      </c>
      <c r="Z44" s="234">
        <v>107.5</v>
      </c>
      <c r="AA44" s="234">
        <v>19</v>
      </c>
      <c r="AB44" s="232" t="s">
        <v>483</v>
      </c>
      <c r="AD44" s="232"/>
      <c r="AE44" s="234"/>
      <c r="AF44" s="232"/>
    </row>
    <row r="45" spans="1:32" ht="12.75">
      <c r="A45" t="s">
        <v>494</v>
      </c>
      <c r="B45" s="218">
        <v>20</v>
      </c>
      <c r="C45" s="219">
        <f t="shared" si="0"/>
        <v>1082.9844528627561</v>
      </c>
      <c r="D45" s="218">
        <v>10.1</v>
      </c>
      <c r="E45" s="220">
        <v>11</v>
      </c>
      <c r="F45" s="218">
        <v>33</v>
      </c>
      <c r="H45" s="260" t="s">
        <v>577</v>
      </c>
      <c r="I45" s="233">
        <v>79</v>
      </c>
      <c r="J45" s="233">
        <v>5</v>
      </c>
      <c r="K45" s="233">
        <v>100</v>
      </c>
      <c r="M45" s="232"/>
      <c r="N45" s="234"/>
      <c r="O45" s="234"/>
      <c r="P45" s="233"/>
      <c r="R45" s="237"/>
      <c r="S45" s="236"/>
      <c r="T45" s="237"/>
      <c r="U45" s="237"/>
      <c r="V45" s="237"/>
      <c r="X45" s="232" t="s">
        <v>486</v>
      </c>
      <c r="Y45" s="234">
        <v>74</v>
      </c>
      <c r="Z45" s="234">
        <v>107.5</v>
      </c>
      <c r="AA45" s="234">
        <v>19</v>
      </c>
      <c r="AB45" s="232" t="s">
        <v>487</v>
      </c>
      <c r="AD45" s="232"/>
      <c r="AE45" s="234"/>
      <c r="AF45" s="232"/>
    </row>
    <row r="46" spans="1:32" ht="12.75">
      <c r="A46" t="s">
        <v>497</v>
      </c>
      <c r="B46" s="218">
        <v>11.4</v>
      </c>
      <c r="C46" s="219">
        <f t="shared" si="0"/>
        <v>1045.861755049711</v>
      </c>
      <c r="D46" s="218">
        <v>4.8</v>
      </c>
      <c r="E46" s="220">
        <v>3</v>
      </c>
      <c r="F46" s="218">
        <v>28</v>
      </c>
      <c r="H46" s="260"/>
      <c r="I46" s="233"/>
      <c r="J46" s="233"/>
      <c r="K46" s="233"/>
      <c r="M46" s="232"/>
      <c r="N46" s="234"/>
      <c r="O46" s="234"/>
      <c r="P46" s="233"/>
      <c r="R46" s="364" t="s">
        <v>654</v>
      </c>
      <c r="S46" s="365"/>
      <c r="T46" s="364" t="s">
        <v>657</v>
      </c>
      <c r="U46" s="237"/>
      <c r="V46" s="237"/>
      <c r="X46" s="232" t="s">
        <v>489</v>
      </c>
      <c r="Y46" s="234">
        <v>73</v>
      </c>
      <c r="Z46" s="234">
        <v>107</v>
      </c>
      <c r="AA46" s="234">
        <v>21</v>
      </c>
      <c r="AB46" s="232" t="s">
        <v>490</v>
      </c>
      <c r="AD46" s="232"/>
      <c r="AE46" s="234"/>
      <c r="AF46" s="232"/>
    </row>
    <row r="47" spans="1:32" ht="12.75" customHeight="1">
      <c r="A47" t="s">
        <v>499</v>
      </c>
      <c r="B47" s="218">
        <v>10.9</v>
      </c>
      <c r="C47" s="219">
        <f t="shared" si="0"/>
        <v>1043.772831773518</v>
      </c>
      <c r="D47" s="218">
        <v>5</v>
      </c>
      <c r="E47" s="220">
        <v>24</v>
      </c>
      <c r="F47" s="218">
        <v>50</v>
      </c>
      <c r="H47" s="232"/>
      <c r="I47" s="233"/>
      <c r="J47" s="233"/>
      <c r="K47" s="233"/>
      <c r="M47" s="232"/>
      <c r="N47" s="234"/>
      <c r="O47" s="234"/>
      <c r="P47" s="233"/>
      <c r="R47" s="237" t="s">
        <v>658</v>
      </c>
      <c r="S47" s="236">
        <v>11.5</v>
      </c>
      <c r="T47" s="237" t="s">
        <v>655</v>
      </c>
      <c r="U47" s="237"/>
      <c r="V47" s="237" t="s">
        <v>660</v>
      </c>
      <c r="X47" s="232" t="s">
        <v>492</v>
      </c>
      <c r="Y47" s="234">
        <v>75</v>
      </c>
      <c r="Z47" s="234">
        <v>107.5</v>
      </c>
      <c r="AA47" s="234">
        <v>21</v>
      </c>
      <c r="AB47" s="232" t="s">
        <v>493</v>
      </c>
      <c r="AD47" s="232"/>
      <c r="AE47" s="234"/>
      <c r="AF47" s="232"/>
    </row>
    <row r="48" spans="1:32" ht="14.25" customHeight="1">
      <c r="A48" t="s">
        <v>502</v>
      </c>
      <c r="B48" s="218">
        <v>15.8</v>
      </c>
      <c r="C48" s="219">
        <f t="shared" si="0"/>
        <v>1064.5680392047325</v>
      </c>
      <c r="D48" s="218">
        <v>7.4</v>
      </c>
      <c r="E48" s="220">
        <v>76</v>
      </c>
      <c r="F48" s="218">
        <v>26</v>
      </c>
      <c r="H48" s="232"/>
      <c r="I48" s="233"/>
      <c r="J48" s="233"/>
      <c r="K48" s="233"/>
      <c r="M48" s="232"/>
      <c r="N48" s="234"/>
      <c r="O48" s="234"/>
      <c r="P48" s="233"/>
      <c r="R48" s="237" t="s">
        <v>659</v>
      </c>
      <c r="S48" s="236">
        <v>10</v>
      </c>
      <c r="T48" s="237" t="s">
        <v>656</v>
      </c>
      <c r="U48" s="237"/>
      <c r="V48" s="237" t="s">
        <v>660</v>
      </c>
      <c r="X48" s="232" t="s">
        <v>495</v>
      </c>
      <c r="Y48" s="234">
        <v>69</v>
      </c>
      <c r="Z48" s="234">
        <v>106.5</v>
      </c>
      <c r="AA48" s="234">
        <v>20</v>
      </c>
      <c r="AB48" s="232" t="s">
        <v>496</v>
      </c>
      <c r="AD48" s="232"/>
      <c r="AE48" s="234"/>
      <c r="AF48" s="232"/>
    </row>
    <row r="49" spans="1:32" ht="12.75">
      <c r="A49" t="s">
        <v>505</v>
      </c>
      <c r="B49" s="218">
        <v>13.5</v>
      </c>
      <c r="C49" s="219">
        <f t="shared" si="0"/>
        <v>1054.7165515440556</v>
      </c>
      <c r="D49" s="218">
        <v>5.7</v>
      </c>
      <c r="E49" s="220">
        <v>32</v>
      </c>
      <c r="F49" s="218">
        <v>22</v>
      </c>
      <c r="H49" s="232"/>
      <c r="I49" s="233"/>
      <c r="J49" s="233"/>
      <c r="K49" s="233"/>
      <c r="M49" s="232"/>
      <c r="N49" s="234"/>
      <c r="O49" s="234"/>
      <c r="P49" s="233"/>
      <c r="R49" s="237"/>
      <c r="S49" s="236"/>
      <c r="T49" s="237"/>
      <c r="U49" s="237"/>
      <c r="V49" s="237"/>
      <c r="X49" s="232" t="s">
        <v>498</v>
      </c>
      <c r="Y49" s="234">
        <v>84</v>
      </c>
      <c r="Z49" s="234">
        <v>107.5</v>
      </c>
      <c r="AA49" s="234">
        <v>20</v>
      </c>
      <c r="AB49" s="260" t="s">
        <v>640</v>
      </c>
      <c r="AD49" s="232"/>
      <c r="AE49" s="234"/>
      <c r="AF49" s="232"/>
    </row>
    <row r="50" spans="1:32" ht="12.75">
      <c r="A50" t="s">
        <v>508</v>
      </c>
      <c r="B50" s="218">
        <v>17.4</v>
      </c>
      <c r="C50" s="219">
        <f t="shared" si="0"/>
        <v>1071.5178718846105</v>
      </c>
      <c r="D50" s="218">
        <v>7.5</v>
      </c>
      <c r="E50" s="220">
        <v>60</v>
      </c>
      <c r="F50" s="218">
        <v>30</v>
      </c>
      <c r="H50" s="232"/>
      <c r="I50" s="233"/>
      <c r="J50" s="233"/>
      <c r="K50" s="233"/>
      <c r="M50" s="232"/>
      <c r="N50" s="234"/>
      <c r="O50" s="234"/>
      <c r="P50" s="233"/>
      <c r="R50" s="237"/>
      <c r="S50" s="236"/>
      <c r="T50" s="237"/>
      <c r="U50" s="237"/>
      <c r="V50" s="237"/>
      <c r="X50" s="232" t="s">
        <v>500</v>
      </c>
      <c r="Y50" s="234">
        <v>71</v>
      </c>
      <c r="Z50" s="234">
        <v>107</v>
      </c>
      <c r="AA50" s="234">
        <v>18</v>
      </c>
      <c r="AB50" s="232" t="s">
        <v>501</v>
      </c>
      <c r="AD50" s="232"/>
      <c r="AE50" s="234"/>
      <c r="AF50" s="232"/>
    </row>
    <row r="51" spans="1:32" ht="12.75">
      <c r="A51" t="s">
        <v>511</v>
      </c>
      <c r="B51" s="218">
        <v>11.9</v>
      </c>
      <c r="C51" s="219">
        <f t="shared" si="0"/>
        <v>1047.9580828623382</v>
      </c>
      <c r="D51" s="218">
        <v>5</v>
      </c>
      <c r="E51" s="220">
        <v>6</v>
      </c>
      <c r="F51" s="218">
        <v>40</v>
      </c>
      <c r="H51" s="260" t="s">
        <v>689</v>
      </c>
      <c r="I51" s="233">
        <v>80</v>
      </c>
      <c r="J51" s="233">
        <v>10</v>
      </c>
      <c r="K51" s="233">
        <v>100</v>
      </c>
      <c r="M51" s="232"/>
      <c r="N51" s="234"/>
      <c r="O51" s="234"/>
      <c r="P51" s="233"/>
      <c r="R51" s="237"/>
      <c r="S51" s="236"/>
      <c r="T51" s="237"/>
      <c r="U51" s="237"/>
      <c r="V51" s="237"/>
      <c r="X51" s="232" t="s">
        <v>503</v>
      </c>
      <c r="Y51" s="234">
        <v>82</v>
      </c>
      <c r="Z51" s="234">
        <v>107.5</v>
      </c>
      <c r="AA51" s="234">
        <v>22</v>
      </c>
      <c r="AB51" s="232" t="s">
        <v>504</v>
      </c>
      <c r="AD51" s="232"/>
      <c r="AE51" s="234"/>
      <c r="AF51" s="232"/>
    </row>
    <row r="52" spans="1:32" ht="12.75">
      <c r="A52" t="s">
        <v>514</v>
      </c>
      <c r="B52" s="218">
        <v>12.3</v>
      </c>
      <c r="C52" s="219">
        <f t="shared" si="0"/>
        <v>1049.6405028728232</v>
      </c>
      <c r="D52" s="218">
        <v>5.2</v>
      </c>
      <c r="E52" s="220">
        <v>9</v>
      </c>
      <c r="F52" s="218">
        <v>18</v>
      </c>
      <c r="H52" s="232"/>
      <c r="I52" s="233"/>
      <c r="J52" s="233"/>
      <c r="K52" s="233"/>
      <c r="M52" s="232"/>
      <c r="N52" s="234"/>
      <c r="O52" s="234"/>
      <c r="P52" s="233"/>
      <c r="R52" s="237"/>
      <c r="S52" s="236"/>
      <c r="T52" s="237"/>
      <c r="U52" s="237"/>
      <c r="V52" s="237"/>
      <c r="X52" s="232" t="s">
        <v>506</v>
      </c>
      <c r="Y52" s="234">
        <v>69</v>
      </c>
      <c r="Z52" s="234">
        <v>106.5</v>
      </c>
      <c r="AA52" s="234">
        <v>20</v>
      </c>
      <c r="AB52" s="232" t="s">
        <v>507</v>
      </c>
      <c r="AD52" s="232"/>
      <c r="AE52" s="234"/>
      <c r="AF52" s="232"/>
    </row>
    <row r="53" spans="1:32" ht="13.5" customHeight="1">
      <c r="A53" t="s">
        <v>517</v>
      </c>
      <c r="B53" s="218">
        <v>11.9</v>
      </c>
      <c r="C53" s="219">
        <f t="shared" si="0"/>
        <v>1047.9580828623382</v>
      </c>
      <c r="D53" s="218">
        <v>4.8</v>
      </c>
      <c r="E53" s="220">
        <v>60</v>
      </c>
      <c r="F53" s="218">
        <v>14</v>
      </c>
      <c r="H53" s="232"/>
      <c r="I53" s="233"/>
      <c r="J53" s="233"/>
      <c r="K53" s="233"/>
      <c r="M53" s="232"/>
      <c r="N53" s="234"/>
      <c r="O53" s="234"/>
      <c r="P53" s="233"/>
      <c r="R53" s="237"/>
      <c r="S53" s="236"/>
      <c r="T53" s="237"/>
      <c r="U53" s="237"/>
      <c r="V53" s="237"/>
      <c r="X53" s="232" t="s">
        <v>509</v>
      </c>
      <c r="Y53" s="234">
        <v>73</v>
      </c>
      <c r="Z53" s="234">
        <v>107</v>
      </c>
      <c r="AA53" s="234">
        <v>11</v>
      </c>
      <c r="AB53" s="232" t="s">
        <v>510</v>
      </c>
      <c r="AD53" s="232"/>
      <c r="AE53" s="234"/>
      <c r="AF53" s="232"/>
    </row>
    <row r="54" spans="1:32" ht="12" customHeight="1">
      <c r="A54" t="s">
        <v>520</v>
      </c>
      <c r="B54" s="218">
        <v>15.8</v>
      </c>
      <c r="C54" s="219">
        <f t="shared" si="0"/>
        <v>1064.5680392047325</v>
      </c>
      <c r="D54" s="218">
        <v>6.6</v>
      </c>
      <c r="E54" s="220">
        <v>60</v>
      </c>
      <c r="F54" s="218">
        <v>14</v>
      </c>
      <c r="H54" s="232"/>
      <c r="I54" s="233"/>
      <c r="J54" s="233"/>
      <c r="K54" s="233"/>
      <c r="M54" s="232"/>
      <c r="N54" s="234"/>
      <c r="O54" s="234"/>
      <c r="P54" s="233"/>
      <c r="R54" s="237"/>
      <c r="S54" s="236"/>
      <c r="T54" s="237"/>
      <c r="U54" s="237"/>
      <c r="V54" s="237"/>
      <c r="X54" s="232" t="s">
        <v>512</v>
      </c>
      <c r="Y54" s="234">
        <v>73</v>
      </c>
      <c r="Z54" s="234">
        <v>107</v>
      </c>
      <c r="AA54" s="234">
        <v>11</v>
      </c>
      <c r="AB54" s="232" t="s">
        <v>513</v>
      </c>
      <c r="AD54" s="232"/>
      <c r="AE54" s="234"/>
      <c r="AF54" s="232"/>
    </row>
    <row r="55" spans="1:32" ht="12.75">
      <c r="A55" t="s">
        <v>523</v>
      </c>
      <c r="B55" s="218">
        <v>15.1</v>
      </c>
      <c r="C55" s="219">
        <f t="shared" si="0"/>
        <v>1061.5525606181134</v>
      </c>
      <c r="D55" s="218">
        <v>6.4</v>
      </c>
      <c r="E55" s="220">
        <v>35</v>
      </c>
      <c r="F55" s="218">
        <v>25</v>
      </c>
      <c r="H55" s="232"/>
      <c r="I55" s="233"/>
      <c r="J55" s="233"/>
      <c r="K55" s="233"/>
      <c r="M55" s="232"/>
      <c r="N55" s="234"/>
      <c r="O55" s="234"/>
      <c r="P55" s="233"/>
      <c r="R55" s="237"/>
      <c r="S55" s="236"/>
      <c r="T55" s="237"/>
      <c r="U55" s="237"/>
      <c r="V55" s="237"/>
      <c r="X55" s="232" t="s">
        <v>515</v>
      </c>
      <c r="Y55" s="234">
        <v>73</v>
      </c>
      <c r="Z55" s="234">
        <v>107</v>
      </c>
      <c r="AA55" s="234">
        <v>11</v>
      </c>
      <c r="AB55" s="232" t="s">
        <v>516</v>
      </c>
      <c r="AD55" s="232"/>
      <c r="AE55" s="234"/>
      <c r="AF55" s="232"/>
    </row>
    <row r="56" spans="1:32" ht="12.75">
      <c r="A56" t="s">
        <v>526</v>
      </c>
      <c r="B56" s="218">
        <v>19</v>
      </c>
      <c r="C56" s="219">
        <f t="shared" si="0"/>
        <v>1078.5485712324953</v>
      </c>
      <c r="D56" s="218">
        <v>8.5</v>
      </c>
      <c r="E56" s="220">
        <v>6</v>
      </c>
      <c r="F56" s="218">
        <v>27</v>
      </c>
      <c r="H56" s="232"/>
      <c r="I56" s="233"/>
      <c r="J56" s="233"/>
      <c r="K56" s="233"/>
      <c r="M56" s="232"/>
      <c r="N56" s="234"/>
      <c r="O56" s="234"/>
      <c r="P56" s="233"/>
      <c r="R56" s="237"/>
      <c r="S56" s="236"/>
      <c r="T56" s="237"/>
      <c r="U56" s="237"/>
      <c r="V56" s="237"/>
      <c r="X56" s="232" t="s">
        <v>518</v>
      </c>
      <c r="Y56" s="234">
        <v>77</v>
      </c>
      <c r="Z56" s="234">
        <v>107.5</v>
      </c>
      <c r="AA56" s="234">
        <v>12</v>
      </c>
      <c r="AB56" s="232" t="s">
        <v>519</v>
      </c>
      <c r="AD56" s="232"/>
      <c r="AE56" s="234"/>
      <c r="AF56" s="232"/>
    </row>
    <row r="57" spans="8:32" ht="12.75">
      <c r="H57" s="232"/>
      <c r="I57" s="233"/>
      <c r="J57" s="233"/>
      <c r="K57" s="233"/>
      <c r="M57" s="232"/>
      <c r="N57" s="234"/>
      <c r="O57" s="234"/>
      <c r="P57" s="233"/>
      <c r="R57" s="237"/>
      <c r="S57" s="236"/>
      <c r="T57" s="237"/>
      <c r="U57" s="237"/>
      <c r="V57" s="237"/>
      <c r="X57" s="232" t="s">
        <v>521</v>
      </c>
      <c r="Y57" s="234">
        <v>75</v>
      </c>
      <c r="Z57" s="234">
        <v>107.5</v>
      </c>
      <c r="AA57" s="234">
        <v>11</v>
      </c>
      <c r="AB57" s="232" t="s">
        <v>522</v>
      </c>
      <c r="AD57" s="232"/>
      <c r="AE57" s="234"/>
      <c r="AF57" s="232"/>
    </row>
    <row r="58" spans="8:32" ht="12.75">
      <c r="H58" s="232"/>
      <c r="I58" s="233"/>
      <c r="J58" s="233"/>
      <c r="K58" s="233"/>
      <c r="M58" s="232"/>
      <c r="N58" s="234"/>
      <c r="O58" s="234"/>
      <c r="P58" s="233"/>
      <c r="R58" s="237"/>
      <c r="S58" s="236"/>
      <c r="T58" s="237"/>
      <c r="U58" s="237"/>
      <c r="V58" s="237"/>
      <c r="X58" s="232" t="s">
        <v>524</v>
      </c>
      <c r="Y58" s="234">
        <v>69</v>
      </c>
      <c r="Z58" s="234">
        <v>106.5</v>
      </c>
      <c r="AA58" s="234">
        <v>17</v>
      </c>
      <c r="AB58" s="232" t="s">
        <v>525</v>
      </c>
      <c r="AD58" s="232"/>
      <c r="AE58" s="234"/>
      <c r="AF58" s="232"/>
    </row>
    <row r="59" spans="8:32" ht="12.75">
      <c r="H59" s="232"/>
      <c r="I59" s="233"/>
      <c r="J59" s="233"/>
      <c r="K59" s="233"/>
      <c r="M59" s="232"/>
      <c r="N59" s="234"/>
      <c r="O59" s="234"/>
      <c r="P59" s="233"/>
      <c r="R59" s="237"/>
      <c r="S59" s="236"/>
      <c r="T59" s="237"/>
      <c r="U59" s="237"/>
      <c r="V59" s="237"/>
      <c r="X59" s="232" t="s">
        <v>527</v>
      </c>
      <c r="Y59" s="234">
        <v>71</v>
      </c>
      <c r="Z59" s="234">
        <v>107</v>
      </c>
      <c r="AA59" s="234">
        <v>11</v>
      </c>
      <c r="AB59" s="232" t="s">
        <v>528</v>
      </c>
      <c r="AD59" s="232"/>
      <c r="AE59" s="234"/>
      <c r="AF59" s="232"/>
    </row>
    <row r="60" spans="8:32" ht="12.75">
      <c r="H60" s="232"/>
      <c r="I60" s="233"/>
      <c r="J60" s="233"/>
      <c r="K60" s="233"/>
      <c r="M60" s="232"/>
      <c r="N60" s="234"/>
      <c r="O60" s="234"/>
      <c r="P60" s="233"/>
      <c r="R60" s="237"/>
      <c r="S60" s="236"/>
      <c r="T60" s="237"/>
      <c r="U60" s="237"/>
      <c r="V60" s="237"/>
      <c r="X60" s="232" t="s">
        <v>529</v>
      </c>
      <c r="Y60" s="234">
        <v>75</v>
      </c>
      <c r="Z60" s="234">
        <v>107.5</v>
      </c>
      <c r="AA60" s="234">
        <v>11</v>
      </c>
      <c r="AB60" s="232" t="s">
        <v>530</v>
      </c>
      <c r="AD60" s="232"/>
      <c r="AE60" s="234"/>
      <c r="AF60" s="232"/>
    </row>
    <row r="61" spans="8:32" ht="12.75">
      <c r="H61" s="232"/>
      <c r="I61" s="233"/>
      <c r="J61" s="233"/>
      <c r="K61" s="233"/>
      <c r="M61" s="232"/>
      <c r="N61" s="234"/>
      <c r="O61" s="234"/>
      <c r="P61" s="233"/>
      <c r="R61" s="237"/>
      <c r="S61" s="236"/>
      <c r="T61" s="237"/>
      <c r="U61" s="237"/>
      <c r="V61" s="237"/>
      <c r="X61" s="232" t="s">
        <v>531</v>
      </c>
      <c r="Y61" s="234">
        <v>72</v>
      </c>
      <c r="Z61" s="234">
        <v>107.5</v>
      </c>
      <c r="AA61" s="234">
        <v>11</v>
      </c>
      <c r="AB61" s="232" t="s">
        <v>532</v>
      </c>
      <c r="AD61" s="232"/>
      <c r="AE61" s="234"/>
      <c r="AF61" s="232"/>
    </row>
    <row r="62" spans="8:32" ht="12.75">
      <c r="H62" s="232"/>
      <c r="I62" s="233"/>
      <c r="J62" s="233"/>
      <c r="K62" s="233"/>
      <c r="M62" s="232"/>
      <c r="N62" s="234"/>
      <c r="O62" s="234"/>
      <c r="P62" s="233"/>
      <c r="R62" s="237"/>
      <c r="S62" s="236"/>
      <c r="T62" s="237"/>
      <c r="U62" s="237"/>
      <c r="V62" s="237"/>
      <c r="X62" s="232" t="s">
        <v>533</v>
      </c>
      <c r="Y62" s="234">
        <v>75</v>
      </c>
      <c r="Z62" s="234">
        <v>107.5</v>
      </c>
      <c r="AA62" s="234">
        <v>11</v>
      </c>
      <c r="AB62" s="232" t="s">
        <v>534</v>
      </c>
      <c r="AD62" s="232"/>
      <c r="AE62" s="234"/>
      <c r="AF62" s="232"/>
    </row>
    <row r="63" spans="8:32" ht="12.75">
      <c r="H63" s="232"/>
      <c r="I63" s="233"/>
      <c r="J63" s="233"/>
      <c r="K63" s="233"/>
      <c r="M63" s="232"/>
      <c r="N63" s="234"/>
      <c r="O63" s="234"/>
      <c r="P63" s="233"/>
      <c r="R63" s="237"/>
      <c r="S63" s="236"/>
      <c r="T63" s="237"/>
      <c r="U63" s="237"/>
      <c r="V63" s="237"/>
      <c r="X63" s="232" t="s">
        <v>535</v>
      </c>
      <c r="Y63" s="234">
        <v>75</v>
      </c>
      <c r="Z63" s="234">
        <v>107.5</v>
      </c>
      <c r="AA63" s="234">
        <v>21</v>
      </c>
      <c r="AB63" s="232" t="s">
        <v>536</v>
      </c>
      <c r="AD63" s="232"/>
      <c r="AE63" s="234"/>
      <c r="AF63" s="232"/>
    </row>
    <row r="64" spans="8:32" ht="12.75">
      <c r="H64" s="232"/>
      <c r="I64" s="233"/>
      <c r="J64" s="233"/>
      <c r="K64" s="233"/>
      <c r="M64" s="232"/>
      <c r="N64" s="234"/>
      <c r="O64" s="234"/>
      <c r="P64" s="233"/>
      <c r="R64" s="237"/>
      <c r="S64" s="236"/>
      <c r="T64" s="237"/>
      <c r="U64" s="237"/>
      <c r="V64" s="237"/>
      <c r="X64" s="232" t="s">
        <v>537</v>
      </c>
      <c r="Y64" s="234">
        <v>76</v>
      </c>
      <c r="Z64" s="234">
        <v>107.5</v>
      </c>
      <c r="AA64" s="234">
        <v>22</v>
      </c>
      <c r="AB64" s="232" t="s">
        <v>538</v>
      </c>
      <c r="AD64" s="232"/>
      <c r="AE64" s="234"/>
      <c r="AF64" s="232"/>
    </row>
    <row r="65" spans="8:32" ht="12.75">
      <c r="H65" s="232"/>
      <c r="I65" s="233"/>
      <c r="J65" s="233"/>
      <c r="K65" s="233"/>
      <c r="M65" s="232"/>
      <c r="N65" s="234"/>
      <c r="O65" s="234"/>
      <c r="P65" s="233"/>
      <c r="R65" s="237"/>
      <c r="S65" s="236"/>
      <c r="T65" s="237"/>
      <c r="U65" s="237"/>
      <c r="V65" s="237"/>
      <c r="X65" s="232" t="s">
        <v>539</v>
      </c>
      <c r="Y65" s="234">
        <v>74</v>
      </c>
      <c r="Z65" s="234">
        <v>107.5</v>
      </c>
      <c r="AA65" s="234">
        <v>22</v>
      </c>
      <c r="AB65" s="232" t="s">
        <v>540</v>
      </c>
      <c r="AD65" s="232"/>
      <c r="AE65" s="234"/>
      <c r="AF65" s="232"/>
    </row>
    <row r="66" spans="8:32" ht="12.75">
      <c r="H66" s="232"/>
      <c r="I66" s="233"/>
      <c r="J66" s="233"/>
      <c r="K66" s="233"/>
      <c r="M66" s="232"/>
      <c r="N66" s="234"/>
      <c r="O66" s="234"/>
      <c r="P66" s="233"/>
      <c r="R66" s="237"/>
      <c r="S66" s="236"/>
      <c r="T66" s="237"/>
      <c r="U66" s="237"/>
      <c r="V66" s="237"/>
      <c r="X66" s="232" t="s">
        <v>541</v>
      </c>
      <c r="Y66" s="234">
        <v>77</v>
      </c>
      <c r="Z66" s="234">
        <v>107.5</v>
      </c>
      <c r="AA66" s="234">
        <v>21</v>
      </c>
      <c r="AB66" s="232" t="s">
        <v>542</v>
      </c>
      <c r="AD66" s="232"/>
      <c r="AE66" s="234"/>
      <c r="AF66" s="232"/>
    </row>
    <row r="67" spans="8:32" ht="12.75">
      <c r="H67" s="232"/>
      <c r="I67" s="233"/>
      <c r="J67" s="233"/>
      <c r="K67" s="233"/>
      <c r="M67" s="232"/>
      <c r="N67" s="234"/>
      <c r="O67" s="234"/>
      <c r="P67" s="233"/>
      <c r="R67" s="237"/>
      <c r="S67" s="236"/>
      <c r="T67" s="237"/>
      <c r="U67" s="237"/>
      <c r="V67" s="237"/>
      <c r="X67" s="232" t="s">
        <v>543</v>
      </c>
      <c r="Y67" s="234">
        <v>86</v>
      </c>
      <c r="Z67" s="234">
        <v>107.5</v>
      </c>
      <c r="AA67" s="234">
        <v>24</v>
      </c>
      <c r="AB67" s="232" t="s">
        <v>544</v>
      </c>
      <c r="AD67" s="232"/>
      <c r="AE67" s="234"/>
      <c r="AF67" s="232"/>
    </row>
    <row r="68" spans="8:32" ht="12.75">
      <c r="H68" s="232"/>
      <c r="I68" s="233"/>
      <c r="J68" s="233"/>
      <c r="K68" s="233"/>
      <c r="M68" s="232"/>
      <c r="N68" s="234"/>
      <c r="O68" s="234"/>
      <c r="P68" s="233"/>
      <c r="R68" s="237"/>
      <c r="S68" s="236"/>
      <c r="T68" s="237"/>
      <c r="U68" s="237"/>
      <c r="V68" s="237"/>
      <c r="X68" s="232" t="s">
        <v>545</v>
      </c>
      <c r="Y68" s="234">
        <v>80</v>
      </c>
      <c r="Z68" s="234">
        <v>107.5</v>
      </c>
      <c r="AA68" s="234">
        <v>23</v>
      </c>
      <c r="AB68" s="232" t="s">
        <v>546</v>
      </c>
      <c r="AD68" s="232"/>
      <c r="AE68" s="234"/>
      <c r="AF68" s="232"/>
    </row>
    <row r="69" spans="8:32" ht="12.75">
      <c r="H69" s="232"/>
      <c r="I69" s="233"/>
      <c r="J69" s="233"/>
      <c r="K69" s="233"/>
      <c r="M69" s="232"/>
      <c r="N69" s="234"/>
      <c r="O69" s="234"/>
      <c r="P69" s="233"/>
      <c r="R69" s="237"/>
      <c r="S69" s="236"/>
      <c r="T69" s="237"/>
      <c r="U69" s="237"/>
      <c r="V69" s="237"/>
      <c r="X69" s="232" t="s">
        <v>547</v>
      </c>
      <c r="Y69" s="234">
        <v>75</v>
      </c>
      <c r="Z69" s="234">
        <v>107.5</v>
      </c>
      <c r="AA69" s="234">
        <v>22</v>
      </c>
      <c r="AB69" s="232" t="s">
        <v>548</v>
      </c>
      <c r="AD69" s="232"/>
      <c r="AE69" s="234"/>
      <c r="AF69" s="232"/>
    </row>
    <row r="70" spans="8:32" ht="12.75">
      <c r="H70" s="232"/>
      <c r="I70" s="233"/>
      <c r="J70" s="233"/>
      <c r="K70" s="233"/>
      <c r="M70" s="232"/>
      <c r="N70" s="234"/>
      <c r="O70" s="234"/>
      <c r="P70" s="233"/>
      <c r="R70" s="237"/>
      <c r="S70" s="236"/>
      <c r="T70" s="237"/>
      <c r="U70" s="237"/>
      <c r="V70" s="237"/>
      <c r="X70" s="232" t="s">
        <v>549</v>
      </c>
      <c r="Y70" s="234">
        <v>79</v>
      </c>
      <c r="Z70" s="234">
        <v>107.5</v>
      </c>
      <c r="AA70" s="234">
        <v>20</v>
      </c>
      <c r="AB70" s="232" t="s">
        <v>550</v>
      </c>
      <c r="AD70" s="232"/>
      <c r="AE70" s="234"/>
      <c r="AF70" s="232"/>
    </row>
    <row r="71" spans="8:32" ht="12.75">
      <c r="H71" s="232"/>
      <c r="I71" s="233"/>
      <c r="J71" s="233"/>
      <c r="K71" s="233"/>
      <c r="M71" s="232"/>
      <c r="N71" s="234"/>
      <c r="O71" s="234"/>
      <c r="P71" s="233"/>
      <c r="R71" s="237"/>
      <c r="S71" s="236"/>
      <c r="T71" s="237"/>
      <c r="U71" s="237"/>
      <c r="V71" s="237"/>
      <c r="X71" s="232" t="s">
        <v>551</v>
      </c>
      <c r="Y71" s="234">
        <v>84</v>
      </c>
      <c r="Z71" s="234">
        <v>107.5</v>
      </c>
      <c r="AA71" s="234" t="s">
        <v>552</v>
      </c>
      <c r="AB71" s="232" t="s">
        <v>553</v>
      </c>
      <c r="AD71" s="232"/>
      <c r="AE71" s="234"/>
      <c r="AF71" s="232"/>
    </row>
    <row r="72" spans="8:32" ht="12.75">
      <c r="H72" s="232"/>
      <c r="I72" s="233"/>
      <c r="J72" s="233"/>
      <c r="K72" s="233"/>
      <c r="M72" s="232"/>
      <c r="N72" s="234"/>
      <c r="O72" s="234"/>
      <c r="P72" s="233"/>
      <c r="R72" s="237"/>
      <c r="S72" s="236"/>
      <c r="T72" s="237"/>
      <c r="U72" s="237"/>
      <c r="V72" s="237"/>
      <c r="X72" s="232" t="s">
        <v>554</v>
      </c>
      <c r="Y72" s="234">
        <v>84</v>
      </c>
      <c r="Z72" s="234">
        <v>107.5</v>
      </c>
      <c r="AA72" s="234" t="s">
        <v>555</v>
      </c>
      <c r="AB72" s="232" t="s">
        <v>556</v>
      </c>
      <c r="AD72" s="232"/>
      <c r="AE72" s="234"/>
      <c r="AF72" s="232"/>
    </row>
    <row r="73" spans="8:32" ht="12.75">
      <c r="H73" s="232"/>
      <c r="I73" s="233"/>
      <c r="J73" s="233"/>
      <c r="K73" s="233"/>
      <c r="M73" s="232"/>
      <c r="N73" s="234"/>
      <c r="O73" s="234"/>
      <c r="P73" s="233"/>
      <c r="R73" s="237"/>
      <c r="S73" s="236"/>
      <c r="T73" s="237"/>
      <c r="U73" s="237"/>
      <c r="V73" s="237"/>
      <c r="X73" s="232" t="s">
        <v>557</v>
      </c>
      <c r="Y73" s="234">
        <v>78</v>
      </c>
      <c r="Z73" s="234">
        <v>106</v>
      </c>
      <c r="AA73" s="234" t="s">
        <v>364</v>
      </c>
      <c r="AB73" s="232" t="s">
        <v>558</v>
      </c>
      <c r="AD73" s="232"/>
      <c r="AE73" s="234"/>
      <c r="AF73" s="232"/>
    </row>
    <row r="74" spans="8:32" ht="12.75">
      <c r="H74" s="232"/>
      <c r="I74" s="233"/>
      <c r="J74" s="233"/>
      <c r="K74" s="233"/>
      <c r="M74" s="232"/>
      <c r="N74" s="234"/>
      <c r="O74" s="234"/>
      <c r="P74" s="233"/>
      <c r="R74" s="237"/>
      <c r="S74" s="236"/>
      <c r="T74" s="237"/>
      <c r="U74" s="237"/>
      <c r="V74" s="237"/>
      <c r="X74" s="232" t="s">
        <v>559</v>
      </c>
      <c r="Y74" s="234">
        <v>78</v>
      </c>
      <c r="Z74" s="234">
        <v>107.5</v>
      </c>
      <c r="AA74" s="234" t="s">
        <v>552</v>
      </c>
      <c r="AB74" s="232" t="s">
        <v>560</v>
      </c>
      <c r="AD74" s="232"/>
      <c r="AE74" s="234"/>
      <c r="AF74" s="232"/>
    </row>
    <row r="75" spans="8:32" ht="12.75">
      <c r="H75" s="232"/>
      <c r="I75" s="233"/>
      <c r="J75" s="233"/>
      <c r="K75" s="233"/>
      <c r="M75" s="232"/>
      <c r="N75" s="234"/>
      <c r="O75" s="234"/>
      <c r="P75" s="233"/>
      <c r="R75" s="237"/>
      <c r="S75" s="236"/>
      <c r="T75" s="237"/>
      <c r="U75" s="237"/>
      <c r="V75" s="237"/>
      <c r="X75" s="232" t="s">
        <v>561</v>
      </c>
      <c r="Y75" s="234">
        <v>79</v>
      </c>
      <c r="Z75" s="234">
        <v>107.5</v>
      </c>
      <c r="AA75" s="234">
        <v>21</v>
      </c>
      <c r="AB75" s="260" t="s">
        <v>594</v>
      </c>
      <c r="AD75" s="232"/>
      <c r="AE75" s="234"/>
      <c r="AF75" s="232"/>
    </row>
    <row r="76" spans="8:32" ht="12.75">
      <c r="H76" s="232"/>
      <c r="I76" s="233"/>
      <c r="J76" s="233"/>
      <c r="K76" s="233"/>
      <c r="M76" s="232"/>
      <c r="N76" s="234"/>
      <c r="O76" s="234"/>
      <c r="P76" s="233"/>
      <c r="R76" s="237"/>
      <c r="S76" s="236"/>
      <c r="T76" s="237"/>
      <c r="U76" s="237"/>
      <c r="V76" s="237"/>
      <c r="X76" s="232" t="s">
        <v>562</v>
      </c>
      <c r="Y76" s="234">
        <v>74</v>
      </c>
      <c r="Z76" s="234">
        <v>107.5</v>
      </c>
      <c r="AA76" s="234">
        <v>20</v>
      </c>
      <c r="AB76" s="232" t="s">
        <v>563</v>
      </c>
      <c r="AD76" s="232"/>
      <c r="AE76" s="234"/>
      <c r="AF76" s="232"/>
    </row>
    <row r="77" spans="8:32" ht="12.75">
      <c r="H77" s="232"/>
      <c r="I77" s="233"/>
      <c r="J77" s="233"/>
      <c r="K77" s="233"/>
      <c r="M77" s="232"/>
      <c r="N77" s="234"/>
      <c r="O77" s="234"/>
      <c r="P77" s="233"/>
      <c r="R77" s="237"/>
      <c r="S77" s="236"/>
      <c r="T77" s="237"/>
      <c r="U77" s="237"/>
      <c r="V77" s="237"/>
      <c r="X77" s="232" t="s">
        <v>564</v>
      </c>
      <c r="Y77" s="234">
        <v>74</v>
      </c>
      <c r="Z77" s="234">
        <v>107.5</v>
      </c>
      <c r="AA77" s="234">
        <v>21</v>
      </c>
      <c r="AB77" s="232" t="s">
        <v>565</v>
      </c>
      <c r="AD77" s="232"/>
      <c r="AE77" s="234"/>
      <c r="AF77" s="232"/>
    </row>
    <row r="78" spans="8:32" ht="12.75">
      <c r="H78" s="232"/>
      <c r="I78" s="233"/>
      <c r="J78" s="233"/>
      <c r="K78" s="233"/>
      <c r="M78" s="232"/>
      <c r="N78" s="234"/>
      <c r="O78" s="234"/>
      <c r="P78" s="233"/>
      <c r="R78" s="237"/>
      <c r="S78" s="236"/>
      <c r="T78" s="237"/>
      <c r="U78" s="237"/>
      <c r="V78" s="237"/>
      <c r="X78" s="232" t="s">
        <v>566</v>
      </c>
      <c r="Y78" s="234">
        <v>85</v>
      </c>
      <c r="Z78" s="234">
        <v>107.5</v>
      </c>
      <c r="AA78" s="234">
        <v>22</v>
      </c>
      <c r="AB78" s="232" t="s">
        <v>567</v>
      </c>
      <c r="AD78" s="232"/>
      <c r="AE78" s="234"/>
      <c r="AF78" s="232"/>
    </row>
    <row r="79" spans="8:32" ht="12.75">
      <c r="H79" s="232"/>
      <c r="I79" s="233"/>
      <c r="J79" s="233"/>
      <c r="K79" s="233"/>
      <c r="M79" s="232"/>
      <c r="N79" s="234"/>
      <c r="O79" s="234"/>
      <c r="P79" s="233"/>
      <c r="R79" s="237"/>
      <c r="S79" s="236"/>
      <c r="T79" s="237"/>
      <c r="U79" s="237"/>
      <c r="V79" s="237"/>
      <c r="X79" s="232" t="s">
        <v>568</v>
      </c>
      <c r="Y79" s="234">
        <v>45</v>
      </c>
      <c r="Z79" s="234">
        <v>107.5</v>
      </c>
      <c r="AA79" s="234">
        <v>18</v>
      </c>
      <c r="AB79" s="232" t="s">
        <v>569</v>
      </c>
      <c r="AD79" s="232"/>
      <c r="AE79" s="234"/>
      <c r="AF79" s="232"/>
    </row>
    <row r="80" spans="8:32" ht="12.75">
      <c r="H80" s="232"/>
      <c r="I80" s="233"/>
      <c r="J80" s="233"/>
      <c r="K80" s="233"/>
      <c r="M80" s="232"/>
      <c r="N80" s="234"/>
      <c r="O80" s="234"/>
      <c r="P80" s="233"/>
      <c r="R80" s="237"/>
      <c r="S80" s="236"/>
      <c r="T80" s="237"/>
      <c r="U80" s="237"/>
      <c r="V80" s="237"/>
      <c r="X80" s="232"/>
      <c r="Y80" s="234"/>
      <c r="Z80" s="234"/>
      <c r="AA80" s="234"/>
      <c r="AB80" s="232"/>
      <c r="AD80" s="232"/>
      <c r="AE80" s="234"/>
      <c r="AF80" s="232"/>
    </row>
    <row r="81" spans="8:32" ht="12.75">
      <c r="H81" s="232"/>
      <c r="I81" s="233"/>
      <c r="J81" s="233"/>
      <c r="K81" s="233"/>
      <c r="M81" s="232"/>
      <c r="N81" s="234"/>
      <c r="O81" s="234"/>
      <c r="P81" s="233"/>
      <c r="R81" s="237"/>
      <c r="S81" s="236"/>
      <c r="T81" s="237"/>
      <c r="U81" s="237"/>
      <c r="V81" s="237"/>
      <c r="X81" s="232"/>
      <c r="Y81" s="234"/>
      <c r="Z81" s="234"/>
      <c r="AA81" s="234"/>
      <c r="AB81" s="232"/>
      <c r="AD81" s="232"/>
      <c r="AE81" s="234"/>
      <c r="AF81" s="232"/>
    </row>
    <row r="82" spans="8:32" ht="12.75">
      <c r="H82" s="232"/>
      <c r="I82" s="233"/>
      <c r="J82" s="233"/>
      <c r="K82" s="233"/>
      <c r="M82" s="232"/>
      <c r="N82" s="234"/>
      <c r="O82" s="234"/>
      <c r="P82" s="233"/>
      <c r="R82" s="237"/>
      <c r="S82" s="236"/>
      <c r="T82" s="237"/>
      <c r="U82" s="237"/>
      <c r="V82" s="237"/>
      <c r="X82" s="232"/>
      <c r="Y82" s="234"/>
      <c r="Z82" s="234"/>
      <c r="AA82" s="234"/>
      <c r="AB82" s="232"/>
      <c r="AD82" s="232"/>
      <c r="AE82" s="234"/>
      <c r="AF82" s="232"/>
    </row>
    <row r="83" spans="8:32" ht="12.75">
      <c r="H83" s="232"/>
      <c r="I83" s="233"/>
      <c r="J83" s="233"/>
      <c r="K83" s="233"/>
      <c r="M83" s="232"/>
      <c r="N83" s="234"/>
      <c r="O83" s="234"/>
      <c r="P83" s="233"/>
      <c r="R83" s="237"/>
      <c r="S83" s="236"/>
      <c r="T83" s="237"/>
      <c r="U83" s="237"/>
      <c r="V83" s="237"/>
      <c r="X83" s="232"/>
      <c r="Y83" s="234"/>
      <c r="Z83" s="234"/>
      <c r="AA83" s="234"/>
      <c r="AB83" s="232"/>
      <c r="AD83" s="232"/>
      <c r="AE83" s="234"/>
      <c r="AF83" s="232"/>
    </row>
    <row r="84" spans="8:32" ht="12.75">
      <c r="H84" s="232"/>
      <c r="I84" s="233"/>
      <c r="J84" s="233"/>
      <c r="K84" s="233"/>
      <c r="M84" s="232"/>
      <c r="N84" s="234"/>
      <c r="O84" s="234"/>
      <c r="P84" s="233"/>
      <c r="R84" s="237"/>
      <c r="S84" s="236"/>
      <c r="T84" s="237"/>
      <c r="U84" s="237"/>
      <c r="V84" s="237"/>
      <c r="X84" s="232"/>
      <c r="Y84" s="234"/>
      <c r="Z84" s="234"/>
      <c r="AA84" s="234"/>
      <c r="AB84" s="232"/>
      <c r="AD84" s="232"/>
      <c r="AE84" s="234"/>
      <c r="AF84" s="232"/>
    </row>
    <row r="85" spans="8:32" ht="12.75">
      <c r="H85" s="232"/>
      <c r="I85" s="233"/>
      <c r="J85" s="233"/>
      <c r="K85" s="233"/>
      <c r="M85" s="232"/>
      <c r="N85" s="234"/>
      <c r="O85" s="234"/>
      <c r="P85" s="233"/>
      <c r="R85" s="237"/>
      <c r="S85" s="236"/>
      <c r="T85" s="237"/>
      <c r="U85" s="237"/>
      <c r="V85" s="237"/>
      <c r="X85" s="232"/>
      <c r="Y85" s="234"/>
      <c r="Z85" s="234"/>
      <c r="AA85" s="234"/>
      <c r="AB85" s="232"/>
      <c r="AD85" s="232"/>
      <c r="AE85" s="234"/>
      <c r="AF85" s="232"/>
    </row>
    <row r="86" spans="8:32" ht="12.75">
      <c r="H86" s="232"/>
      <c r="I86" s="233"/>
      <c r="J86" s="233"/>
      <c r="K86" s="233"/>
      <c r="M86" s="232"/>
      <c r="N86" s="234"/>
      <c r="O86" s="234"/>
      <c r="P86" s="233"/>
      <c r="R86" s="237"/>
      <c r="S86" s="236"/>
      <c r="T86" s="237"/>
      <c r="U86" s="237"/>
      <c r="V86" s="237"/>
      <c r="X86" s="232"/>
      <c r="Y86" s="234"/>
      <c r="Z86" s="234"/>
      <c r="AA86" s="234"/>
      <c r="AB86" s="232"/>
      <c r="AD86" s="232"/>
      <c r="AE86" s="234"/>
      <c r="AF86" s="232"/>
    </row>
    <row r="87" spans="8:32" ht="12.75">
      <c r="H87" s="232"/>
      <c r="I87" s="233"/>
      <c r="J87" s="233"/>
      <c r="K87" s="233"/>
      <c r="M87" s="232"/>
      <c r="N87" s="234"/>
      <c r="O87" s="234"/>
      <c r="P87" s="233"/>
      <c r="R87" s="237"/>
      <c r="S87" s="236"/>
      <c r="T87" s="237"/>
      <c r="U87" s="237"/>
      <c r="V87" s="237"/>
      <c r="X87" s="232"/>
      <c r="Y87" s="234"/>
      <c r="Z87" s="234"/>
      <c r="AA87" s="234"/>
      <c r="AB87" s="232"/>
      <c r="AD87" s="232"/>
      <c r="AE87" s="234"/>
      <c r="AF87" s="232"/>
    </row>
    <row r="88" spans="8:32" ht="12.75">
      <c r="H88" s="232"/>
      <c r="I88" s="233"/>
      <c r="J88" s="233"/>
      <c r="K88" s="233"/>
      <c r="M88" s="232"/>
      <c r="N88" s="234"/>
      <c r="O88" s="234"/>
      <c r="P88" s="233"/>
      <c r="R88" s="237"/>
      <c r="S88" s="236"/>
      <c r="T88" s="237"/>
      <c r="U88" s="237"/>
      <c r="V88" s="237"/>
      <c r="X88" s="232"/>
      <c r="Y88" s="234"/>
      <c r="Z88" s="234"/>
      <c r="AA88" s="234"/>
      <c r="AB88" s="232"/>
      <c r="AD88" s="232"/>
      <c r="AE88" s="234"/>
      <c r="AF88" s="232"/>
    </row>
    <row r="89" spans="8:32" ht="12.75">
      <c r="H89" s="232"/>
      <c r="I89" s="233"/>
      <c r="J89" s="233"/>
      <c r="K89" s="233"/>
      <c r="M89" s="232"/>
      <c r="N89" s="234"/>
      <c r="O89" s="234"/>
      <c r="P89" s="233"/>
      <c r="R89" s="237"/>
      <c r="S89" s="236"/>
      <c r="T89" s="237"/>
      <c r="U89" s="237"/>
      <c r="V89" s="237"/>
      <c r="X89" s="232"/>
      <c r="Y89" s="234"/>
      <c r="Z89" s="234"/>
      <c r="AA89" s="234"/>
      <c r="AB89" s="232"/>
      <c r="AD89" s="232"/>
      <c r="AE89" s="234"/>
      <c r="AF89" s="232"/>
    </row>
    <row r="90" spans="8:32" ht="12.75">
      <c r="H90" s="232"/>
      <c r="I90" s="233"/>
      <c r="J90" s="233"/>
      <c r="K90" s="233"/>
      <c r="M90" s="232"/>
      <c r="N90" s="234"/>
      <c r="O90" s="234"/>
      <c r="P90" s="233"/>
      <c r="R90" s="237"/>
      <c r="S90" s="236"/>
      <c r="T90" s="237"/>
      <c r="U90" s="237"/>
      <c r="V90" s="237"/>
      <c r="X90" s="232"/>
      <c r="Y90" s="234"/>
      <c r="Z90" s="234"/>
      <c r="AA90" s="234"/>
      <c r="AB90" s="232"/>
      <c r="AD90" s="232"/>
      <c r="AE90" s="234"/>
      <c r="AF90" s="232"/>
    </row>
    <row r="91" spans="8:32" ht="12.75">
      <c r="H91" s="232"/>
      <c r="I91" s="233"/>
      <c r="J91" s="233"/>
      <c r="K91" s="233"/>
      <c r="M91" s="232"/>
      <c r="N91" s="234"/>
      <c r="O91" s="234"/>
      <c r="P91" s="233"/>
      <c r="R91" s="237"/>
      <c r="S91" s="236"/>
      <c r="T91" s="237"/>
      <c r="U91" s="237"/>
      <c r="V91" s="237"/>
      <c r="X91" s="232"/>
      <c r="Y91" s="234"/>
      <c r="Z91" s="234"/>
      <c r="AA91" s="234"/>
      <c r="AB91" s="232"/>
      <c r="AD91" s="232"/>
      <c r="AE91" s="234"/>
      <c r="AF91" s="232"/>
    </row>
    <row r="92" spans="8:32" ht="12.75">
      <c r="H92" s="232"/>
      <c r="I92" s="233"/>
      <c r="J92" s="233"/>
      <c r="K92" s="233"/>
      <c r="M92" s="232"/>
      <c r="N92" s="234"/>
      <c r="O92" s="234"/>
      <c r="P92" s="233"/>
      <c r="R92" s="237"/>
      <c r="S92" s="236"/>
      <c r="T92" s="237"/>
      <c r="U92" s="237"/>
      <c r="V92" s="237"/>
      <c r="X92" s="232"/>
      <c r="Y92" s="234"/>
      <c r="Z92" s="234"/>
      <c r="AA92" s="234"/>
      <c r="AB92" s="232"/>
      <c r="AD92" s="232"/>
      <c r="AE92" s="234"/>
      <c r="AF92" s="232"/>
    </row>
    <row r="93" spans="8:32" ht="12.75">
      <c r="H93" s="232"/>
      <c r="I93" s="233"/>
      <c r="J93" s="233"/>
      <c r="K93" s="233"/>
      <c r="M93" s="232"/>
      <c r="N93" s="234"/>
      <c r="O93" s="234"/>
      <c r="P93" s="233"/>
      <c r="R93" s="237"/>
      <c r="S93" s="236"/>
      <c r="T93" s="237"/>
      <c r="U93" s="237"/>
      <c r="V93" s="237"/>
      <c r="X93" s="232"/>
      <c r="Y93" s="234"/>
      <c r="Z93" s="234"/>
      <c r="AA93" s="234"/>
      <c r="AB93" s="232"/>
      <c r="AD93" s="232"/>
      <c r="AE93" s="234"/>
      <c r="AF93" s="232"/>
    </row>
    <row r="94" spans="8:32" ht="12.75">
      <c r="H94" s="232"/>
      <c r="I94" s="233"/>
      <c r="J94" s="233"/>
      <c r="K94" s="233"/>
      <c r="M94" s="232"/>
      <c r="N94" s="234"/>
      <c r="O94" s="234"/>
      <c r="P94" s="233"/>
      <c r="R94" s="237"/>
      <c r="S94" s="236"/>
      <c r="T94" s="237"/>
      <c r="U94" s="237"/>
      <c r="V94" s="237"/>
      <c r="X94" s="232"/>
      <c r="Y94" s="234"/>
      <c r="Z94" s="234"/>
      <c r="AA94" s="234"/>
      <c r="AB94" s="232"/>
      <c r="AD94" s="232"/>
      <c r="AE94" s="234"/>
      <c r="AF94" s="232"/>
    </row>
    <row r="95" spans="8:32" ht="12.75">
      <c r="H95" s="232"/>
      <c r="I95" s="233"/>
      <c r="J95" s="233"/>
      <c r="K95" s="233"/>
      <c r="M95" s="232"/>
      <c r="N95" s="234"/>
      <c r="O95" s="234"/>
      <c r="P95" s="233"/>
      <c r="R95" s="237"/>
      <c r="S95" s="236"/>
      <c r="T95" s="237"/>
      <c r="U95" s="237"/>
      <c r="V95" s="237"/>
      <c r="X95" s="232"/>
      <c r="Y95" s="234"/>
      <c r="Z95" s="234"/>
      <c r="AA95" s="234"/>
      <c r="AB95" s="232"/>
      <c r="AD95" s="232"/>
      <c r="AE95" s="234"/>
      <c r="AF95" s="232"/>
    </row>
    <row r="96" spans="8:32" ht="12.75">
      <c r="H96" s="232"/>
      <c r="I96" s="233"/>
      <c r="J96" s="233"/>
      <c r="K96" s="233"/>
      <c r="M96" s="232"/>
      <c r="N96" s="234"/>
      <c r="O96" s="234"/>
      <c r="P96" s="233"/>
      <c r="R96" s="237"/>
      <c r="S96" s="236"/>
      <c r="T96" s="237"/>
      <c r="U96" s="237"/>
      <c r="V96" s="237"/>
      <c r="X96" s="232"/>
      <c r="Y96" s="234"/>
      <c r="Z96" s="234"/>
      <c r="AA96" s="234"/>
      <c r="AB96" s="232"/>
      <c r="AD96" s="232"/>
      <c r="AE96" s="234"/>
      <c r="AF96" s="232"/>
    </row>
    <row r="97" spans="8:32" ht="12.75">
      <c r="H97" s="232"/>
      <c r="I97" s="233"/>
      <c r="J97" s="233"/>
      <c r="K97" s="233"/>
      <c r="M97" s="232"/>
      <c r="N97" s="234"/>
      <c r="O97" s="234"/>
      <c r="P97" s="233"/>
      <c r="R97" s="237"/>
      <c r="S97" s="236"/>
      <c r="T97" s="237"/>
      <c r="U97" s="237"/>
      <c r="V97" s="237"/>
      <c r="X97" s="232"/>
      <c r="Y97" s="234"/>
      <c r="Z97" s="234"/>
      <c r="AA97" s="234"/>
      <c r="AB97" s="232"/>
      <c r="AD97" s="232"/>
      <c r="AE97" s="234"/>
      <c r="AF97" s="232"/>
    </row>
    <row r="98" spans="8:32" ht="12.75">
      <c r="H98" s="232"/>
      <c r="I98" s="233"/>
      <c r="J98" s="233"/>
      <c r="K98" s="233"/>
      <c r="M98" s="232"/>
      <c r="N98" s="234"/>
      <c r="O98" s="234"/>
      <c r="P98" s="233"/>
      <c r="R98" s="237"/>
      <c r="S98" s="236"/>
      <c r="T98" s="237"/>
      <c r="U98" s="237"/>
      <c r="V98" s="237"/>
      <c r="X98" s="232"/>
      <c r="Y98" s="234"/>
      <c r="Z98" s="234"/>
      <c r="AA98" s="234"/>
      <c r="AB98" s="232"/>
      <c r="AD98" s="232"/>
      <c r="AE98" s="234"/>
      <c r="AF98" s="232"/>
    </row>
    <row r="99" spans="8:32" ht="12.75">
      <c r="H99" s="232"/>
      <c r="I99" s="233"/>
      <c r="J99" s="233"/>
      <c r="K99" s="233"/>
      <c r="M99" s="232"/>
      <c r="N99" s="234"/>
      <c r="O99" s="234"/>
      <c r="P99" s="233"/>
      <c r="R99" s="237"/>
      <c r="S99" s="236"/>
      <c r="T99" s="237"/>
      <c r="U99" s="237"/>
      <c r="V99" s="237"/>
      <c r="X99" s="232"/>
      <c r="Y99" s="234"/>
      <c r="Z99" s="234"/>
      <c r="AA99" s="234"/>
      <c r="AB99" s="232"/>
      <c r="AD99" s="232"/>
      <c r="AE99" s="234"/>
      <c r="AF99" s="232"/>
    </row>
    <row r="100" spans="8:32" ht="12.75">
      <c r="H100" s="232"/>
      <c r="I100" s="233"/>
      <c r="J100" s="233"/>
      <c r="K100" s="233"/>
      <c r="M100" s="232"/>
      <c r="N100" s="234"/>
      <c r="O100" s="234"/>
      <c r="P100" s="233"/>
      <c r="R100" s="237"/>
      <c r="S100" s="236"/>
      <c r="T100" s="237"/>
      <c r="U100" s="237"/>
      <c r="V100" s="237"/>
      <c r="X100" s="232"/>
      <c r="Y100" s="234"/>
      <c r="Z100" s="234"/>
      <c r="AA100" s="234"/>
      <c r="AB100" s="232"/>
      <c r="AD100" s="232"/>
      <c r="AE100" s="234"/>
      <c r="AF100" s="232"/>
    </row>
    <row r="101" spans="8:32" ht="12.75">
      <c r="H101" s="232"/>
      <c r="I101" s="233"/>
      <c r="J101" s="233"/>
      <c r="K101" s="233"/>
      <c r="R101" s="237"/>
      <c r="S101" s="236"/>
      <c r="T101" s="237"/>
      <c r="U101" s="237"/>
      <c r="V101" s="237"/>
      <c r="X101" s="232"/>
      <c r="Y101" s="234"/>
      <c r="Z101" s="234"/>
      <c r="AA101" s="234"/>
      <c r="AB101" s="232"/>
      <c r="AD101" s="232"/>
      <c r="AE101" s="234"/>
      <c r="AF101" s="232"/>
    </row>
    <row r="102" spans="8:32" ht="12.75">
      <c r="H102" s="232"/>
      <c r="I102" s="233"/>
      <c r="J102" s="233"/>
      <c r="K102" s="233"/>
      <c r="R102" s="237"/>
      <c r="S102" s="236"/>
      <c r="T102" s="237"/>
      <c r="U102" s="237"/>
      <c r="V102" s="237"/>
      <c r="X102" s="232"/>
      <c r="Y102" s="234"/>
      <c r="Z102" s="234"/>
      <c r="AA102" s="234"/>
      <c r="AB102" s="232"/>
      <c r="AD102" s="232"/>
      <c r="AE102" s="234"/>
      <c r="AF102" s="232"/>
    </row>
    <row r="103" spans="8:32" ht="12.75">
      <c r="H103" s="232"/>
      <c r="I103" s="233"/>
      <c r="J103" s="233"/>
      <c r="K103" s="233"/>
      <c r="R103" s="237"/>
      <c r="S103" s="236"/>
      <c r="T103" s="237"/>
      <c r="U103" s="237"/>
      <c r="V103" s="237"/>
      <c r="X103" s="232"/>
      <c r="Y103" s="234"/>
      <c r="Z103" s="234"/>
      <c r="AA103" s="234"/>
      <c r="AB103" s="232"/>
      <c r="AD103" s="232"/>
      <c r="AE103" s="234"/>
      <c r="AF103" s="232"/>
    </row>
    <row r="104" spans="8:32" ht="12.75">
      <c r="H104" s="232"/>
      <c r="I104" s="233"/>
      <c r="J104" s="233"/>
      <c r="K104" s="233"/>
      <c r="R104" s="237"/>
      <c r="S104" s="236"/>
      <c r="T104" s="237"/>
      <c r="U104" s="237"/>
      <c r="V104" s="237"/>
      <c r="X104" s="232"/>
      <c r="Y104" s="234"/>
      <c r="Z104" s="234"/>
      <c r="AA104" s="234"/>
      <c r="AB104" s="232"/>
      <c r="AD104" s="232"/>
      <c r="AE104" s="234"/>
      <c r="AF104" s="232"/>
    </row>
    <row r="105" spans="8:32" ht="12.75">
      <c r="H105" s="232"/>
      <c r="I105" s="233"/>
      <c r="J105" s="233"/>
      <c r="K105" s="233"/>
      <c r="R105" s="237"/>
      <c r="S105" s="236"/>
      <c r="T105" s="237"/>
      <c r="U105" s="237"/>
      <c r="V105" s="237"/>
      <c r="X105" s="232"/>
      <c r="Y105" s="234"/>
      <c r="Z105" s="234"/>
      <c r="AA105" s="234"/>
      <c r="AB105" s="232"/>
      <c r="AD105" s="232"/>
      <c r="AE105" s="234"/>
      <c r="AF105" s="232"/>
    </row>
    <row r="106" spans="8:32" ht="12.75">
      <c r="H106" s="232"/>
      <c r="I106" s="233"/>
      <c r="J106" s="233"/>
      <c r="K106" s="233"/>
      <c r="R106" s="237"/>
      <c r="S106" s="236"/>
      <c r="T106" s="237"/>
      <c r="U106" s="237"/>
      <c r="V106" s="237"/>
      <c r="X106" s="232"/>
      <c r="Y106" s="234"/>
      <c r="Z106" s="234"/>
      <c r="AA106" s="234"/>
      <c r="AB106" s="232"/>
      <c r="AD106" s="232"/>
      <c r="AE106" s="234"/>
      <c r="AF106" s="232"/>
    </row>
    <row r="107" spans="8:32" ht="12.75">
      <c r="H107" s="232"/>
      <c r="I107" s="233"/>
      <c r="J107" s="233"/>
      <c r="K107" s="233"/>
      <c r="R107" s="237"/>
      <c r="S107" s="236"/>
      <c r="T107" s="237"/>
      <c r="U107" s="237"/>
      <c r="V107" s="237"/>
      <c r="X107" s="232"/>
      <c r="Y107" s="234"/>
      <c r="Z107" s="234"/>
      <c r="AA107" s="234"/>
      <c r="AB107" s="232"/>
      <c r="AD107" s="232"/>
      <c r="AE107" s="234"/>
      <c r="AF107" s="232"/>
    </row>
    <row r="108" spans="8:32" ht="12.75">
      <c r="H108" s="232"/>
      <c r="I108" s="233"/>
      <c r="J108" s="233"/>
      <c r="K108" s="233"/>
      <c r="R108" s="237"/>
      <c r="S108" s="236"/>
      <c r="T108" s="237"/>
      <c r="U108" s="237"/>
      <c r="V108" s="237"/>
      <c r="X108" s="232"/>
      <c r="Y108" s="234"/>
      <c r="Z108" s="234"/>
      <c r="AA108" s="234"/>
      <c r="AB108" s="232"/>
      <c r="AD108" s="232"/>
      <c r="AE108" s="234"/>
      <c r="AF108" s="232"/>
    </row>
    <row r="109" spans="8:32" ht="12.75">
      <c r="H109" s="232"/>
      <c r="I109" s="233"/>
      <c r="J109" s="233"/>
      <c r="K109" s="233"/>
      <c r="R109" s="237"/>
      <c r="S109" s="236"/>
      <c r="T109" s="237"/>
      <c r="U109" s="237"/>
      <c r="V109" s="237"/>
      <c r="X109" s="232"/>
      <c r="Y109" s="234"/>
      <c r="Z109" s="234"/>
      <c r="AA109" s="234"/>
      <c r="AB109" s="232"/>
      <c r="AD109" s="232"/>
      <c r="AE109" s="234"/>
      <c r="AF109" s="232"/>
    </row>
    <row r="110" spans="8:32" ht="12.75">
      <c r="H110" s="232"/>
      <c r="I110" s="233"/>
      <c r="J110" s="233"/>
      <c r="K110" s="233"/>
      <c r="R110" s="237"/>
      <c r="S110" s="236"/>
      <c r="T110" s="237"/>
      <c r="U110" s="237"/>
      <c r="V110" s="237"/>
      <c r="X110" s="232"/>
      <c r="Y110" s="234"/>
      <c r="Z110" s="234"/>
      <c r="AA110" s="234"/>
      <c r="AB110" s="232"/>
      <c r="AD110" s="232"/>
      <c r="AE110" s="234"/>
      <c r="AF110" s="232"/>
    </row>
    <row r="111" spans="8:32" ht="12.75">
      <c r="H111" s="232"/>
      <c r="I111" s="233"/>
      <c r="J111" s="233"/>
      <c r="K111" s="233"/>
      <c r="R111" s="237"/>
      <c r="S111" s="236"/>
      <c r="T111" s="237"/>
      <c r="U111" s="237"/>
      <c r="V111" s="237"/>
      <c r="X111" s="232"/>
      <c r="Y111" s="234"/>
      <c r="Z111" s="234"/>
      <c r="AA111" s="234"/>
      <c r="AB111" s="232"/>
      <c r="AD111" s="232"/>
      <c r="AE111" s="234"/>
      <c r="AF111" s="232"/>
    </row>
    <row r="112" spans="8:32" ht="12.75">
      <c r="H112" s="232"/>
      <c r="I112" s="233"/>
      <c r="J112" s="233"/>
      <c r="K112" s="233"/>
      <c r="R112" s="237"/>
      <c r="S112" s="236"/>
      <c r="T112" s="237"/>
      <c r="U112" s="237"/>
      <c r="V112" s="237"/>
      <c r="X112" s="232"/>
      <c r="Y112" s="234"/>
      <c r="Z112" s="234"/>
      <c r="AA112" s="234"/>
      <c r="AB112" s="232"/>
      <c r="AD112" s="232"/>
      <c r="AE112" s="234"/>
      <c r="AF112" s="232"/>
    </row>
    <row r="113" spans="8:32" ht="12.75">
      <c r="H113" s="232"/>
      <c r="I113" s="233"/>
      <c r="J113" s="233"/>
      <c r="K113" s="233"/>
      <c r="R113" s="237"/>
      <c r="S113" s="236"/>
      <c r="T113" s="237"/>
      <c r="U113" s="237"/>
      <c r="V113" s="237"/>
      <c r="X113" s="232"/>
      <c r="Y113" s="234"/>
      <c r="Z113" s="234"/>
      <c r="AA113" s="234"/>
      <c r="AB113" s="232"/>
      <c r="AD113" s="232"/>
      <c r="AE113" s="234"/>
      <c r="AF113" s="232"/>
    </row>
    <row r="114" spans="8:32" ht="12.75">
      <c r="H114" s="232"/>
      <c r="I114" s="233"/>
      <c r="J114" s="233"/>
      <c r="K114" s="233"/>
      <c r="R114" s="237"/>
      <c r="S114" s="236"/>
      <c r="T114" s="237"/>
      <c r="U114" s="237"/>
      <c r="V114" s="237"/>
      <c r="X114" s="232"/>
      <c r="Y114" s="234"/>
      <c r="Z114" s="234"/>
      <c r="AA114" s="234"/>
      <c r="AB114" s="232"/>
      <c r="AD114" s="232"/>
      <c r="AE114" s="234"/>
      <c r="AF114" s="232"/>
    </row>
    <row r="115" spans="8:32" ht="12.75">
      <c r="H115" s="232"/>
      <c r="I115" s="233"/>
      <c r="J115" s="233"/>
      <c r="K115" s="233"/>
      <c r="R115" s="237"/>
      <c r="S115" s="236"/>
      <c r="T115" s="237"/>
      <c r="U115" s="237"/>
      <c r="V115" s="237"/>
      <c r="X115" s="232"/>
      <c r="Y115" s="234"/>
      <c r="Z115" s="234"/>
      <c r="AA115" s="234"/>
      <c r="AB115" s="232"/>
      <c r="AD115" s="232"/>
      <c r="AE115" s="234"/>
      <c r="AF115" s="232"/>
    </row>
    <row r="116" spans="8:32" ht="12.75">
      <c r="H116" s="232"/>
      <c r="I116" s="233"/>
      <c r="J116" s="233"/>
      <c r="K116" s="233"/>
      <c r="R116" s="237"/>
      <c r="S116" s="236"/>
      <c r="T116" s="237"/>
      <c r="U116" s="237"/>
      <c r="V116" s="237"/>
      <c r="X116" s="232"/>
      <c r="Y116" s="234"/>
      <c r="Z116" s="234"/>
      <c r="AA116" s="234"/>
      <c r="AB116" s="232"/>
      <c r="AD116" s="232"/>
      <c r="AE116" s="234"/>
      <c r="AF116" s="232"/>
    </row>
    <row r="117" spans="8:32" ht="12.75">
      <c r="H117" s="232"/>
      <c r="I117" s="233"/>
      <c r="J117" s="233"/>
      <c r="K117" s="233"/>
      <c r="R117" s="237"/>
      <c r="S117" s="236"/>
      <c r="T117" s="237"/>
      <c r="U117" s="237"/>
      <c r="V117" s="237"/>
      <c r="X117" s="232"/>
      <c r="Y117" s="234"/>
      <c r="Z117" s="234"/>
      <c r="AA117" s="234"/>
      <c r="AB117" s="232"/>
      <c r="AD117" s="232"/>
      <c r="AE117" s="234"/>
      <c r="AF117" s="232"/>
    </row>
    <row r="118" spans="8:32" ht="12.75">
      <c r="H118" s="232"/>
      <c r="I118" s="233"/>
      <c r="J118" s="233"/>
      <c r="K118" s="233"/>
      <c r="R118" s="237"/>
      <c r="S118" s="236"/>
      <c r="T118" s="237"/>
      <c r="U118" s="237"/>
      <c r="V118" s="237"/>
      <c r="X118" s="232"/>
      <c r="Y118" s="234"/>
      <c r="Z118" s="234"/>
      <c r="AA118" s="234"/>
      <c r="AB118" s="232"/>
      <c r="AD118" s="232"/>
      <c r="AE118" s="234"/>
      <c r="AF118" s="232"/>
    </row>
    <row r="119" spans="8:32" ht="12.75">
      <c r="H119" s="232"/>
      <c r="I119" s="233"/>
      <c r="J119" s="233"/>
      <c r="K119" s="233"/>
      <c r="R119" s="237"/>
      <c r="S119" s="236"/>
      <c r="T119" s="237"/>
      <c r="U119" s="237"/>
      <c r="V119" s="237"/>
      <c r="X119" s="232"/>
      <c r="Y119" s="234"/>
      <c r="Z119" s="234"/>
      <c r="AA119" s="234"/>
      <c r="AB119" s="232"/>
      <c r="AD119" s="232"/>
      <c r="AE119" s="234"/>
      <c r="AF119" s="232"/>
    </row>
    <row r="120" spans="8:32" ht="12.75">
      <c r="H120" s="232"/>
      <c r="I120" s="233"/>
      <c r="J120" s="233"/>
      <c r="K120" s="233"/>
      <c r="R120" s="237"/>
      <c r="S120" s="236"/>
      <c r="T120" s="237"/>
      <c r="U120" s="237"/>
      <c r="V120" s="237"/>
      <c r="X120" s="232"/>
      <c r="Y120" s="234"/>
      <c r="Z120" s="234"/>
      <c r="AA120" s="234"/>
      <c r="AB120" s="232"/>
      <c r="AD120" s="232"/>
      <c r="AE120" s="234"/>
      <c r="AF120" s="232"/>
    </row>
    <row r="121" spans="8:32" ht="12.75">
      <c r="H121" s="232"/>
      <c r="I121" s="233"/>
      <c r="J121" s="233"/>
      <c r="K121" s="233"/>
      <c r="R121" s="237"/>
      <c r="S121" s="236"/>
      <c r="T121" s="237"/>
      <c r="U121" s="237"/>
      <c r="V121" s="237"/>
      <c r="X121" s="232"/>
      <c r="Y121" s="234"/>
      <c r="Z121" s="234"/>
      <c r="AA121" s="234"/>
      <c r="AB121" s="232"/>
      <c r="AD121" s="232"/>
      <c r="AE121" s="234"/>
      <c r="AF121" s="232"/>
    </row>
    <row r="122" spans="8:32" ht="12.75">
      <c r="H122" s="232"/>
      <c r="I122" s="233"/>
      <c r="J122" s="233"/>
      <c r="K122" s="233"/>
      <c r="R122" s="237"/>
      <c r="S122" s="236"/>
      <c r="T122" s="237"/>
      <c r="U122" s="237"/>
      <c r="V122" s="237"/>
      <c r="X122" s="232"/>
      <c r="Y122" s="234"/>
      <c r="Z122" s="234"/>
      <c r="AA122" s="234"/>
      <c r="AB122" s="232"/>
      <c r="AD122" s="232"/>
      <c r="AE122" s="234"/>
      <c r="AF122" s="232"/>
    </row>
    <row r="123" spans="8:32" ht="12.75">
      <c r="H123" s="232"/>
      <c r="I123" s="233"/>
      <c r="J123" s="233"/>
      <c r="K123" s="233"/>
      <c r="R123" s="237"/>
      <c r="S123" s="236"/>
      <c r="T123" s="237"/>
      <c r="U123" s="237"/>
      <c r="V123" s="237"/>
      <c r="X123" s="232"/>
      <c r="Y123" s="234"/>
      <c r="Z123" s="234"/>
      <c r="AA123" s="234"/>
      <c r="AB123" s="232"/>
      <c r="AD123" s="232"/>
      <c r="AE123" s="234"/>
      <c r="AF123" s="232"/>
    </row>
    <row r="124" spans="8:32" ht="12.75">
      <c r="H124" s="232"/>
      <c r="I124" s="233"/>
      <c r="J124" s="233"/>
      <c r="K124" s="233"/>
      <c r="R124" s="237"/>
      <c r="S124" s="236"/>
      <c r="T124" s="237"/>
      <c r="U124" s="237"/>
      <c r="V124" s="237"/>
      <c r="X124" s="232"/>
      <c r="Y124" s="234"/>
      <c r="Z124" s="234"/>
      <c r="AA124" s="234"/>
      <c r="AB124" s="232"/>
      <c r="AD124" s="232"/>
      <c r="AE124" s="234"/>
      <c r="AF124" s="232"/>
    </row>
    <row r="125" spans="8:32" ht="12.75">
      <c r="H125" s="232"/>
      <c r="I125" s="233"/>
      <c r="J125" s="233"/>
      <c r="K125" s="233"/>
      <c r="R125" s="237"/>
      <c r="S125" s="236"/>
      <c r="T125" s="237"/>
      <c r="U125" s="237"/>
      <c r="V125" s="237"/>
      <c r="X125" s="232"/>
      <c r="Y125" s="234"/>
      <c r="Z125" s="234"/>
      <c r="AA125" s="234"/>
      <c r="AB125" s="232"/>
      <c r="AD125" s="232"/>
      <c r="AE125" s="234"/>
      <c r="AF125" s="232"/>
    </row>
    <row r="126" spans="8:32" ht="12.75">
      <c r="H126" s="232"/>
      <c r="I126" s="233"/>
      <c r="J126" s="233"/>
      <c r="K126" s="233"/>
      <c r="R126" s="237"/>
      <c r="S126" s="236"/>
      <c r="T126" s="237"/>
      <c r="U126" s="237"/>
      <c r="V126" s="237"/>
      <c r="X126" s="232"/>
      <c r="Y126" s="234"/>
      <c r="Z126" s="234"/>
      <c r="AA126" s="234"/>
      <c r="AB126" s="232"/>
      <c r="AD126" s="232"/>
      <c r="AE126" s="234"/>
      <c r="AF126" s="232"/>
    </row>
    <row r="127" spans="8:32" ht="12.75">
      <c r="H127" s="232"/>
      <c r="I127" s="233"/>
      <c r="J127" s="233"/>
      <c r="K127" s="233"/>
      <c r="R127" s="237"/>
      <c r="S127" s="236"/>
      <c r="T127" s="237"/>
      <c r="U127" s="237"/>
      <c r="V127" s="237"/>
      <c r="X127" s="232"/>
      <c r="Y127" s="234"/>
      <c r="Z127" s="234"/>
      <c r="AA127" s="234"/>
      <c r="AB127" s="232"/>
      <c r="AD127" s="232"/>
      <c r="AE127" s="234"/>
      <c r="AF127" s="232"/>
    </row>
    <row r="128" spans="8:32" ht="12.75">
      <c r="H128" s="232"/>
      <c r="I128" s="233"/>
      <c r="J128" s="233"/>
      <c r="K128" s="233"/>
      <c r="R128" s="237"/>
      <c r="S128" s="236"/>
      <c r="T128" s="237"/>
      <c r="U128" s="237"/>
      <c r="V128" s="237"/>
      <c r="X128" s="232"/>
      <c r="Y128" s="234"/>
      <c r="Z128" s="234"/>
      <c r="AA128" s="234"/>
      <c r="AB128" s="232"/>
      <c r="AD128" s="232"/>
      <c r="AE128" s="234"/>
      <c r="AF128" s="232"/>
    </row>
    <row r="129" spans="8:32" ht="12.75">
      <c r="H129" s="232"/>
      <c r="I129" s="233"/>
      <c r="J129" s="233"/>
      <c r="K129" s="233"/>
      <c r="R129" s="237"/>
      <c r="S129" s="236"/>
      <c r="T129" s="237"/>
      <c r="U129" s="237"/>
      <c r="V129" s="237"/>
      <c r="X129" s="232"/>
      <c r="Y129" s="234"/>
      <c r="Z129" s="234"/>
      <c r="AA129" s="234"/>
      <c r="AB129" s="232"/>
      <c r="AD129" s="232"/>
      <c r="AE129" s="234"/>
      <c r="AF129" s="232"/>
    </row>
    <row r="130" spans="8:32" ht="12.75">
      <c r="H130" s="232"/>
      <c r="I130" s="233"/>
      <c r="J130" s="233"/>
      <c r="K130" s="233"/>
      <c r="R130" s="237"/>
      <c r="S130" s="236"/>
      <c r="T130" s="237"/>
      <c r="U130" s="237"/>
      <c r="V130" s="237"/>
      <c r="X130" s="232"/>
      <c r="Y130" s="234"/>
      <c r="Z130" s="234"/>
      <c r="AA130" s="234"/>
      <c r="AB130" s="232"/>
      <c r="AD130" s="232"/>
      <c r="AE130" s="234"/>
      <c r="AF130" s="232"/>
    </row>
    <row r="131" spans="8:32" ht="12.75">
      <c r="H131" s="232"/>
      <c r="I131" s="233"/>
      <c r="J131" s="233"/>
      <c r="K131" s="233"/>
      <c r="R131" s="237"/>
      <c r="S131" s="236"/>
      <c r="T131" s="237"/>
      <c r="U131" s="237"/>
      <c r="V131" s="237"/>
      <c r="X131" s="232"/>
      <c r="Y131" s="234"/>
      <c r="Z131" s="234"/>
      <c r="AA131" s="234"/>
      <c r="AB131" s="232"/>
      <c r="AD131" s="232"/>
      <c r="AE131" s="234"/>
      <c r="AF131" s="232"/>
    </row>
    <row r="132" spans="8:32" ht="12.75">
      <c r="H132" s="232"/>
      <c r="I132" s="233"/>
      <c r="J132" s="233"/>
      <c r="K132" s="233"/>
      <c r="R132" s="237"/>
      <c r="S132" s="236"/>
      <c r="T132" s="237"/>
      <c r="U132" s="237"/>
      <c r="V132" s="237"/>
      <c r="X132" s="232"/>
      <c r="Y132" s="234"/>
      <c r="Z132" s="234"/>
      <c r="AA132" s="234"/>
      <c r="AB132" s="232"/>
      <c r="AD132" s="232"/>
      <c r="AE132" s="234"/>
      <c r="AF132" s="232"/>
    </row>
    <row r="133" spans="8:32" ht="12.75">
      <c r="H133" s="232"/>
      <c r="I133" s="233"/>
      <c r="J133" s="233"/>
      <c r="K133" s="233"/>
      <c r="R133" s="237"/>
      <c r="S133" s="236"/>
      <c r="T133" s="237"/>
      <c r="U133" s="237"/>
      <c r="V133" s="237"/>
      <c r="X133" s="232"/>
      <c r="Y133" s="234"/>
      <c r="Z133" s="234"/>
      <c r="AA133" s="234"/>
      <c r="AB133" s="232"/>
      <c r="AD133" s="232"/>
      <c r="AE133" s="234"/>
      <c r="AF133" s="232"/>
    </row>
    <row r="134" spans="8:32" ht="12.75">
      <c r="H134" s="232"/>
      <c r="I134" s="233"/>
      <c r="J134" s="233"/>
      <c r="K134" s="233"/>
      <c r="R134" s="237"/>
      <c r="S134" s="236"/>
      <c r="T134" s="237"/>
      <c r="U134" s="237"/>
      <c r="V134" s="237"/>
      <c r="X134" s="232"/>
      <c r="Y134" s="234"/>
      <c r="Z134" s="234"/>
      <c r="AA134" s="234"/>
      <c r="AB134" s="232"/>
      <c r="AD134" s="232"/>
      <c r="AE134" s="234"/>
      <c r="AF134" s="232"/>
    </row>
    <row r="135" spans="8:32" ht="12.75">
      <c r="H135" s="232"/>
      <c r="I135" s="233"/>
      <c r="J135" s="233"/>
      <c r="K135" s="233"/>
      <c r="R135" s="237"/>
      <c r="S135" s="236"/>
      <c r="T135" s="237"/>
      <c r="U135" s="237"/>
      <c r="V135" s="237"/>
      <c r="X135" s="232"/>
      <c r="Y135" s="234"/>
      <c r="Z135" s="234"/>
      <c r="AA135" s="234"/>
      <c r="AB135" s="232"/>
      <c r="AD135" s="232"/>
      <c r="AE135" s="234"/>
      <c r="AF135" s="232"/>
    </row>
    <row r="136" spans="8:32" ht="12.75">
      <c r="H136" s="232"/>
      <c r="I136" s="233"/>
      <c r="J136" s="233"/>
      <c r="K136" s="233"/>
      <c r="R136" s="237"/>
      <c r="S136" s="236"/>
      <c r="T136" s="237"/>
      <c r="U136" s="237"/>
      <c r="V136" s="237"/>
      <c r="X136" s="232"/>
      <c r="Y136" s="234"/>
      <c r="Z136" s="234"/>
      <c r="AA136" s="234"/>
      <c r="AB136" s="232"/>
      <c r="AD136" s="232"/>
      <c r="AE136" s="234"/>
      <c r="AF136" s="232"/>
    </row>
    <row r="137" spans="8:32" ht="12.75">
      <c r="H137" s="232"/>
      <c r="I137" s="233"/>
      <c r="J137" s="233"/>
      <c r="K137" s="233"/>
      <c r="R137" s="237"/>
      <c r="S137" s="236"/>
      <c r="T137" s="237"/>
      <c r="U137" s="237"/>
      <c r="V137" s="237"/>
      <c r="X137" s="232"/>
      <c r="Y137" s="234"/>
      <c r="Z137" s="234"/>
      <c r="AA137" s="234"/>
      <c r="AB137" s="232"/>
      <c r="AD137" s="232"/>
      <c r="AE137" s="234"/>
      <c r="AF137" s="232"/>
    </row>
    <row r="138" spans="8:32" ht="12.75">
      <c r="H138" s="232"/>
      <c r="I138" s="233"/>
      <c r="J138" s="233"/>
      <c r="K138" s="233"/>
      <c r="R138" s="237"/>
      <c r="S138" s="236"/>
      <c r="T138" s="237"/>
      <c r="U138" s="237"/>
      <c r="V138" s="237"/>
      <c r="X138" s="232"/>
      <c r="Y138" s="234"/>
      <c r="Z138" s="234"/>
      <c r="AA138" s="234"/>
      <c r="AB138" s="232"/>
      <c r="AD138" s="232"/>
      <c r="AE138" s="234"/>
      <c r="AF138" s="232"/>
    </row>
    <row r="139" spans="8:32" ht="12.75">
      <c r="H139" s="232"/>
      <c r="I139" s="233"/>
      <c r="J139" s="233"/>
      <c r="K139" s="233"/>
      <c r="R139" s="237"/>
      <c r="S139" s="236"/>
      <c r="T139" s="237"/>
      <c r="U139" s="237"/>
      <c r="V139" s="237"/>
      <c r="X139" s="232"/>
      <c r="Y139" s="234"/>
      <c r="Z139" s="234"/>
      <c r="AA139" s="234"/>
      <c r="AB139" s="232"/>
      <c r="AD139" s="232"/>
      <c r="AE139" s="234"/>
      <c r="AF139" s="232"/>
    </row>
    <row r="140" spans="8:32" ht="12.75">
      <c r="H140" s="232"/>
      <c r="I140" s="233"/>
      <c r="J140" s="233"/>
      <c r="K140" s="233"/>
      <c r="R140" s="237"/>
      <c r="S140" s="236"/>
      <c r="T140" s="237"/>
      <c r="U140" s="237"/>
      <c r="V140" s="237"/>
      <c r="X140" s="232"/>
      <c r="Y140" s="234"/>
      <c r="Z140" s="234"/>
      <c r="AA140" s="234"/>
      <c r="AB140" s="232"/>
      <c r="AD140" s="232"/>
      <c r="AE140" s="234"/>
      <c r="AF140" s="232"/>
    </row>
    <row r="141" spans="8:32" ht="12.75">
      <c r="H141" s="232"/>
      <c r="I141" s="233"/>
      <c r="J141" s="233"/>
      <c r="K141" s="233"/>
      <c r="R141" s="237"/>
      <c r="S141" s="236"/>
      <c r="T141" s="237"/>
      <c r="U141" s="237"/>
      <c r="V141" s="237"/>
      <c r="X141" s="232"/>
      <c r="Y141" s="234"/>
      <c r="Z141" s="234"/>
      <c r="AA141" s="234"/>
      <c r="AB141" s="232"/>
      <c r="AD141" s="232"/>
      <c r="AE141" s="234"/>
      <c r="AF141" s="232"/>
    </row>
    <row r="142" spans="8:32" ht="12.75">
      <c r="H142" s="232"/>
      <c r="I142" s="233"/>
      <c r="J142" s="233"/>
      <c r="K142" s="233"/>
      <c r="R142" s="237"/>
      <c r="S142" s="236"/>
      <c r="T142" s="237"/>
      <c r="U142" s="237"/>
      <c r="V142" s="237"/>
      <c r="X142" s="232"/>
      <c r="Y142" s="234"/>
      <c r="Z142" s="234"/>
      <c r="AA142" s="234"/>
      <c r="AB142" s="232"/>
      <c r="AD142" s="232"/>
      <c r="AE142" s="234"/>
      <c r="AF142" s="232"/>
    </row>
    <row r="143" spans="8:32" ht="12.75">
      <c r="H143" s="232"/>
      <c r="I143" s="233"/>
      <c r="J143" s="233"/>
      <c r="K143" s="233"/>
      <c r="R143" s="237"/>
      <c r="S143" s="236"/>
      <c r="T143" s="237"/>
      <c r="U143" s="237"/>
      <c r="V143" s="237"/>
      <c r="X143" s="232"/>
      <c r="Y143" s="234"/>
      <c r="Z143" s="234"/>
      <c r="AA143" s="234"/>
      <c r="AB143" s="232"/>
      <c r="AD143" s="232"/>
      <c r="AE143" s="234"/>
      <c r="AF143" s="232"/>
    </row>
    <row r="144" spans="8:32" ht="12.75">
      <c r="H144" s="232"/>
      <c r="I144" s="233"/>
      <c r="J144" s="233"/>
      <c r="K144" s="233"/>
      <c r="R144" s="237"/>
      <c r="S144" s="236"/>
      <c r="T144" s="237"/>
      <c r="U144" s="237"/>
      <c r="V144" s="237"/>
      <c r="X144" s="232"/>
      <c r="Y144" s="234"/>
      <c r="Z144" s="234"/>
      <c r="AA144" s="234"/>
      <c r="AB144" s="232"/>
      <c r="AD144" s="232"/>
      <c r="AE144" s="234"/>
      <c r="AF144" s="232"/>
    </row>
    <row r="145" spans="8:32" ht="12.75">
      <c r="H145" s="232"/>
      <c r="I145" s="233"/>
      <c r="J145" s="233"/>
      <c r="K145" s="233"/>
      <c r="R145" s="237"/>
      <c r="S145" s="236"/>
      <c r="T145" s="237"/>
      <c r="U145" s="237"/>
      <c r="V145" s="237"/>
      <c r="X145" s="232"/>
      <c r="Y145" s="234"/>
      <c r="Z145" s="234"/>
      <c r="AA145" s="234"/>
      <c r="AB145" s="232"/>
      <c r="AD145" s="232"/>
      <c r="AE145" s="234"/>
      <c r="AF145" s="232"/>
    </row>
    <row r="146" spans="8:32" ht="12.75">
      <c r="H146" s="232"/>
      <c r="I146" s="233"/>
      <c r="J146" s="233"/>
      <c r="K146" s="233"/>
      <c r="R146" s="237"/>
      <c r="S146" s="236"/>
      <c r="T146" s="237"/>
      <c r="U146" s="237"/>
      <c r="V146" s="237"/>
      <c r="X146" s="232"/>
      <c r="Y146" s="234"/>
      <c r="Z146" s="234"/>
      <c r="AA146" s="234"/>
      <c r="AB146" s="232"/>
      <c r="AD146" s="232"/>
      <c r="AE146" s="234"/>
      <c r="AF146" s="232"/>
    </row>
    <row r="147" spans="8:32" ht="12.75">
      <c r="H147" s="232"/>
      <c r="I147" s="233"/>
      <c r="J147" s="233"/>
      <c r="K147" s="233"/>
      <c r="R147" s="237"/>
      <c r="S147" s="236"/>
      <c r="T147" s="237"/>
      <c r="U147" s="237"/>
      <c r="V147" s="237"/>
      <c r="X147" s="232"/>
      <c r="Y147" s="234"/>
      <c r="Z147" s="234"/>
      <c r="AA147" s="234"/>
      <c r="AB147" s="232"/>
      <c r="AD147" s="232"/>
      <c r="AE147" s="234"/>
      <c r="AF147" s="232"/>
    </row>
    <row r="148" spans="8:32" ht="12.75">
      <c r="H148" s="232"/>
      <c r="I148" s="233"/>
      <c r="J148" s="233"/>
      <c r="K148" s="233"/>
      <c r="R148" s="237"/>
      <c r="S148" s="236"/>
      <c r="T148" s="237"/>
      <c r="U148" s="237"/>
      <c r="V148" s="237"/>
      <c r="X148" s="232"/>
      <c r="Y148" s="234"/>
      <c r="Z148" s="234"/>
      <c r="AA148" s="234"/>
      <c r="AB148" s="232"/>
      <c r="AD148" s="232"/>
      <c r="AE148" s="234"/>
      <c r="AF148" s="232"/>
    </row>
    <row r="149" spans="8:32" ht="12.75">
      <c r="H149" s="232"/>
      <c r="I149" s="233"/>
      <c r="J149" s="233"/>
      <c r="K149" s="233"/>
      <c r="R149" s="237"/>
      <c r="S149" s="236"/>
      <c r="T149" s="237"/>
      <c r="U149" s="237"/>
      <c r="V149" s="237"/>
      <c r="X149" s="232"/>
      <c r="Y149" s="234"/>
      <c r="Z149" s="234"/>
      <c r="AA149" s="234"/>
      <c r="AB149" s="232"/>
      <c r="AD149" s="232"/>
      <c r="AE149" s="234"/>
      <c r="AF149" s="232"/>
    </row>
    <row r="150" spans="8:32" ht="12.75">
      <c r="H150" s="232"/>
      <c r="I150" s="233"/>
      <c r="J150" s="233"/>
      <c r="K150" s="233"/>
      <c r="R150" s="237"/>
      <c r="S150" s="236"/>
      <c r="T150" s="237"/>
      <c r="U150" s="237"/>
      <c r="V150" s="237"/>
      <c r="X150" s="232"/>
      <c r="Y150" s="234"/>
      <c r="Z150" s="234"/>
      <c r="AA150" s="234"/>
      <c r="AB150" s="232"/>
      <c r="AD150" s="232"/>
      <c r="AE150" s="234"/>
      <c r="AF150" s="232"/>
    </row>
    <row r="151" spans="8:17" ht="13.5">
      <c r="H151" s="72"/>
      <c r="I151" s="238"/>
      <c r="J151" s="238"/>
      <c r="K151" s="238"/>
      <c r="Q151" s="239" t="s">
        <v>570</v>
      </c>
    </row>
    <row r="152" spans="8:11" ht="12.75" customHeight="1">
      <c r="H152" s="72"/>
      <c r="I152" s="238"/>
      <c r="J152" s="238"/>
      <c r="K152" s="238"/>
    </row>
    <row r="153" spans="8:11" ht="12.75" customHeight="1">
      <c r="H153" s="72"/>
      <c r="I153" s="238"/>
      <c r="J153" s="238"/>
      <c r="K153" s="238"/>
    </row>
    <row r="154" spans="8:11" ht="12.75" customHeight="1">
      <c r="H154" s="72"/>
      <c r="I154" s="238"/>
      <c r="J154" s="238"/>
      <c r="K154" s="238"/>
    </row>
    <row r="155" spans="8:11" ht="12.75" customHeight="1">
      <c r="H155" s="72"/>
      <c r="I155" s="238"/>
      <c r="J155" s="238"/>
      <c r="K155" s="238"/>
    </row>
    <row r="156" spans="8:11" ht="12.75">
      <c r="H156" s="72"/>
      <c r="I156" s="238"/>
      <c r="J156" s="238"/>
      <c r="K156" s="238"/>
    </row>
    <row r="157" spans="8:11" ht="12.75">
      <c r="H157" s="72"/>
      <c r="I157" s="238"/>
      <c r="J157" s="238"/>
      <c r="K157" s="238"/>
    </row>
    <row r="158" spans="8:11" ht="12.75">
      <c r="H158" s="72"/>
      <c r="I158" s="238"/>
      <c r="J158" s="238"/>
      <c r="K158" s="238"/>
    </row>
    <row r="159" spans="8:11" ht="12.75">
      <c r="H159" s="72"/>
      <c r="I159" s="238"/>
      <c r="J159" s="238"/>
      <c r="K159" s="238"/>
    </row>
    <row r="160" spans="8:11" ht="12.75">
      <c r="H160" s="72"/>
      <c r="I160" s="238"/>
      <c r="J160" s="238"/>
      <c r="K160" s="238"/>
    </row>
    <row r="161" spans="8:11" ht="12.75">
      <c r="H161" s="72"/>
      <c r="I161" s="238"/>
      <c r="J161" s="238"/>
      <c r="K161" s="238"/>
    </row>
    <row r="162" spans="8:11" ht="12.75">
      <c r="H162" s="72"/>
      <c r="I162" s="238"/>
      <c r="J162" s="238"/>
      <c r="K162" s="238"/>
    </row>
    <row r="163" spans="8:11" ht="12.75">
      <c r="H163" s="72"/>
      <c r="I163" s="238"/>
      <c r="J163" s="238"/>
      <c r="K163" s="238"/>
    </row>
    <row r="164" spans="8:11" ht="12.75">
      <c r="H164" s="72"/>
      <c r="I164" s="238"/>
      <c r="J164" s="238"/>
      <c r="K164" s="238"/>
    </row>
    <row r="165" spans="8:11" ht="12.75">
      <c r="H165" s="72"/>
      <c r="I165" s="238"/>
      <c r="J165" s="238"/>
      <c r="K165" s="238"/>
    </row>
    <row r="166" spans="8:11" ht="12.75">
      <c r="H166" s="72"/>
      <c r="I166" s="238"/>
      <c r="J166" s="238"/>
      <c r="K166" s="238"/>
    </row>
    <row r="167" spans="8:11" ht="12.75">
      <c r="H167" s="72"/>
      <c r="I167" s="238"/>
      <c r="J167" s="238"/>
      <c r="K167" s="238"/>
    </row>
    <row r="168" spans="8:11" ht="12.75">
      <c r="H168" s="72"/>
      <c r="I168" s="238"/>
      <c r="J168" s="238"/>
      <c r="K168" s="238"/>
    </row>
    <row r="169" spans="8:11" ht="12.75">
      <c r="H169" s="72"/>
      <c r="I169" s="238"/>
      <c r="J169" s="238"/>
      <c r="K169" s="238"/>
    </row>
    <row r="170" spans="8:11" ht="12.75">
      <c r="H170" s="72"/>
      <c r="I170" s="238"/>
      <c r="J170" s="238"/>
      <c r="K170" s="238"/>
    </row>
    <row r="171" spans="8:11" ht="12.75">
      <c r="H171" s="72"/>
      <c r="I171" s="238"/>
      <c r="J171" s="238"/>
      <c r="K171" s="238"/>
    </row>
    <row r="172" spans="8:11" ht="12.75">
      <c r="H172" s="72"/>
      <c r="I172" s="238"/>
      <c r="J172" s="238"/>
      <c r="K172" s="238"/>
    </row>
    <row r="173" spans="8:11" ht="12.75">
      <c r="H173" s="72"/>
      <c r="I173" s="238"/>
      <c r="J173" s="238"/>
      <c r="K173" s="238"/>
    </row>
    <row r="174" spans="8:11" ht="12.75">
      <c r="H174" s="72"/>
      <c r="I174" s="238"/>
      <c r="J174" s="238"/>
      <c r="K174" s="238"/>
    </row>
    <row r="175" spans="8:11" ht="12.75">
      <c r="H175" s="72"/>
      <c r="I175" s="238"/>
      <c r="J175" s="238"/>
      <c r="K175" s="238"/>
    </row>
    <row r="176" spans="8:11" ht="12.75">
      <c r="H176" s="72"/>
      <c r="I176" s="238"/>
      <c r="J176" s="238"/>
      <c r="K176" s="238"/>
    </row>
    <row r="177" spans="8:11" ht="12.75">
      <c r="H177" s="72"/>
      <c r="I177" s="238"/>
      <c r="J177" s="238"/>
      <c r="K177" s="238"/>
    </row>
    <row r="178" spans="8:11" ht="12.75">
      <c r="H178" s="72"/>
      <c r="I178" s="238"/>
      <c r="J178" s="238"/>
      <c r="K178" s="238"/>
    </row>
    <row r="179" spans="8:11" ht="12.75">
      <c r="H179" s="72"/>
      <c r="I179" s="238"/>
      <c r="J179" s="238"/>
      <c r="K179" s="238"/>
    </row>
    <row r="180" spans="8:11" ht="12.75">
      <c r="H180" s="72"/>
      <c r="I180" s="238"/>
      <c r="J180" s="238"/>
      <c r="K180" s="238"/>
    </row>
    <row r="181" spans="8:11" ht="12.75">
      <c r="H181" s="72"/>
      <c r="I181" s="238"/>
      <c r="J181" s="238"/>
      <c r="K181" s="238"/>
    </row>
    <row r="182" spans="8:11" ht="12.75">
      <c r="H182" s="72"/>
      <c r="I182" s="238"/>
      <c r="J182" s="238"/>
      <c r="K182" s="238"/>
    </row>
    <row r="183" spans="8:11" ht="12.75">
      <c r="H183" s="72"/>
      <c r="I183" s="238"/>
      <c r="J183" s="238"/>
      <c r="K183" s="238"/>
    </row>
    <row r="184" spans="8:11" ht="12.75">
      <c r="H184" s="72"/>
      <c r="I184" s="238"/>
      <c r="J184" s="238"/>
      <c r="K184" s="238"/>
    </row>
    <row r="185" spans="8:11" ht="12.75">
      <c r="H185" s="72"/>
      <c r="I185" s="238"/>
      <c r="J185" s="238"/>
      <c r="K185" s="238"/>
    </row>
    <row r="186" spans="8:11" ht="12.75">
      <c r="H186" s="72"/>
      <c r="I186" s="238"/>
      <c r="J186" s="238"/>
      <c r="K186" s="238"/>
    </row>
    <row r="187" spans="8:11" ht="12.75">
      <c r="H187" s="72"/>
      <c r="I187" s="238"/>
      <c r="J187" s="238"/>
      <c r="K187" s="238"/>
    </row>
    <row r="188" spans="8:11" ht="12.75">
      <c r="H188" s="72"/>
      <c r="I188" s="238"/>
      <c r="J188" s="238"/>
      <c r="K188" s="238"/>
    </row>
    <row r="189" spans="8:11" ht="12.75">
      <c r="H189" s="72"/>
      <c r="I189" s="238"/>
      <c r="J189" s="238"/>
      <c r="K189" s="238"/>
    </row>
    <row r="190" spans="8:11" ht="12.75">
      <c r="H190" s="72"/>
      <c r="I190" s="238"/>
      <c r="J190" s="238"/>
      <c r="K190" s="238"/>
    </row>
    <row r="191" spans="8:11" ht="12.75">
      <c r="H191" s="72"/>
      <c r="I191" s="238"/>
      <c r="J191" s="238"/>
      <c r="K191" s="238"/>
    </row>
    <row r="192" spans="8:11" ht="12.75">
      <c r="H192" s="72"/>
      <c r="I192" s="238"/>
      <c r="J192" s="238"/>
      <c r="K192" s="238"/>
    </row>
    <row r="193" spans="8:11" ht="12.75">
      <c r="H193" s="72"/>
      <c r="I193" s="238"/>
      <c r="J193" s="238"/>
      <c r="K193" s="238"/>
    </row>
    <row r="194" spans="8:11" ht="12.75">
      <c r="H194" s="72"/>
      <c r="I194" s="238"/>
      <c r="J194" s="238"/>
      <c r="K194" s="238"/>
    </row>
    <row r="195" spans="8:11" ht="12.75">
      <c r="H195" s="72"/>
      <c r="I195" s="238"/>
      <c r="J195" s="238"/>
      <c r="K195" s="238"/>
    </row>
    <row r="196" spans="8:11" ht="12.75">
      <c r="H196" s="72"/>
      <c r="I196" s="238"/>
      <c r="J196" s="238"/>
      <c r="K196" s="238"/>
    </row>
    <row r="197" spans="8:11" ht="12.75">
      <c r="H197" s="72"/>
      <c r="I197" s="238"/>
      <c r="J197" s="238"/>
      <c r="K197" s="238"/>
    </row>
    <row r="198" spans="8:11" ht="12.75">
      <c r="H198" s="72"/>
      <c r="I198" s="238"/>
      <c r="J198" s="238"/>
      <c r="K198" s="238"/>
    </row>
    <row r="199" spans="8:11" ht="12.75">
      <c r="H199" s="72"/>
      <c r="I199" s="238"/>
      <c r="J199" s="238"/>
      <c r="K199" s="238"/>
    </row>
    <row r="200" spans="8:11" ht="12.75">
      <c r="H200" s="72"/>
      <c r="I200" s="238"/>
      <c r="J200" s="238"/>
      <c r="K200" s="238"/>
    </row>
    <row r="201" spans="8:11" ht="12.75">
      <c r="H201" s="72"/>
      <c r="I201" s="238"/>
      <c r="J201" s="238"/>
      <c r="K201" s="238"/>
    </row>
    <row r="202" spans="8:11" ht="12.75">
      <c r="H202" s="72"/>
      <c r="I202" s="238"/>
      <c r="J202" s="238"/>
      <c r="K202" s="238"/>
    </row>
    <row r="203" spans="8:11" ht="12.75">
      <c r="H203" s="72"/>
      <c r="I203" s="238"/>
      <c r="J203" s="238"/>
      <c r="K203" s="238"/>
    </row>
    <row r="204" spans="8:11" ht="12.75">
      <c r="H204" s="72"/>
      <c r="I204" s="238"/>
      <c r="J204" s="238"/>
      <c r="K204" s="238"/>
    </row>
    <row r="205" spans="8:11" ht="12.75">
      <c r="H205" s="72"/>
      <c r="I205" s="238"/>
      <c r="J205" s="238"/>
      <c r="K205" s="238"/>
    </row>
    <row r="206" spans="8:11" ht="12.75">
      <c r="H206" s="72"/>
      <c r="I206" s="238"/>
      <c r="J206" s="238"/>
      <c r="K206" s="238"/>
    </row>
    <row r="207" spans="8:11" ht="12.75">
      <c r="H207" s="72"/>
      <c r="I207" s="238"/>
      <c r="J207" s="238"/>
      <c r="K207" s="238"/>
    </row>
    <row r="208" spans="8:11" ht="12.75">
      <c r="H208" s="72"/>
      <c r="I208" s="238"/>
      <c r="J208" s="238"/>
      <c r="K208" s="238"/>
    </row>
    <row r="209" spans="8:11" ht="12.75">
      <c r="H209" s="72"/>
      <c r="I209" s="238"/>
      <c r="J209" s="238"/>
      <c r="K209" s="238"/>
    </row>
    <row r="210" spans="8:11" ht="12.75">
      <c r="H210" s="72"/>
      <c r="I210" s="238"/>
      <c r="J210" s="238"/>
      <c r="K210" s="238"/>
    </row>
    <row r="211" spans="8:11" ht="12.75">
      <c r="H211" s="72"/>
      <c r="I211" s="238"/>
      <c r="J211" s="238"/>
      <c r="K211" s="238"/>
    </row>
    <row r="212" spans="8:11" ht="12.75">
      <c r="H212" s="72"/>
      <c r="I212" s="238"/>
      <c r="J212" s="238"/>
      <c r="K212" s="238"/>
    </row>
    <row r="213" spans="8:11" ht="12.75">
      <c r="H213" s="72"/>
      <c r="I213" s="238"/>
      <c r="J213" s="238"/>
      <c r="K213" s="238"/>
    </row>
    <row r="214" spans="8:11" ht="12.75">
      <c r="H214" s="72"/>
      <c r="I214" s="238"/>
      <c r="J214" s="238"/>
      <c r="K214" s="238"/>
    </row>
    <row r="215" spans="8:11" ht="12.75">
      <c r="H215" s="72"/>
      <c r="I215" s="238"/>
      <c r="J215" s="238"/>
      <c r="K215" s="238"/>
    </row>
    <row r="216" spans="8:11" ht="12.75">
      <c r="H216" s="72"/>
      <c r="I216" s="238"/>
      <c r="J216" s="238"/>
      <c r="K216" s="238"/>
    </row>
    <row r="217" spans="8:11" ht="12.75">
      <c r="H217" s="72"/>
      <c r="I217" s="238"/>
      <c r="J217" s="238"/>
      <c r="K217" s="238"/>
    </row>
    <row r="218" spans="8:11" ht="12.75">
      <c r="H218" s="72"/>
      <c r="I218" s="238"/>
      <c r="J218" s="238"/>
      <c r="K218" s="238"/>
    </row>
    <row r="219" spans="8:11" ht="12.75">
      <c r="H219" s="72"/>
      <c r="I219" s="238"/>
      <c r="J219" s="238"/>
      <c r="K219" s="238"/>
    </row>
    <row r="220" spans="8:11" ht="12.75">
      <c r="H220" s="72"/>
      <c r="I220" s="238"/>
      <c r="J220" s="238"/>
      <c r="K220" s="238"/>
    </row>
    <row r="221" spans="8:11" ht="12.75">
      <c r="H221" s="72"/>
      <c r="I221" s="238"/>
      <c r="J221" s="238"/>
      <c r="K221" s="238"/>
    </row>
    <row r="222" spans="8:11" ht="12.75">
      <c r="H222" s="72"/>
      <c r="I222" s="238"/>
      <c r="J222" s="238"/>
      <c r="K222" s="238"/>
    </row>
    <row r="223" spans="8:11" ht="12.75">
      <c r="H223" s="72"/>
      <c r="I223" s="238"/>
      <c r="J223" s="238"/>
      <c r="K223" s="238"/>
    </row>
    <row r="224" spans="8:11" ht="12.75">
      <c r="H224" s="72"/>
      <c r="I224" s="238"/>
      <c r="J224" s="238"/>
      <c r="K224" s="238"/>
    </row>
    <row r="225" spans="8:11" ht="12.75">
      <c r="H225" s="72"/>
      <c r="I225" s="238"/>
      <c r="J225" s="238"/>
      <c r="K225" s="238"/>
    </row>
    <row r="226" spans="8:11" ht="12.75">
      <c r="H226" s="72"/>
      <c r="I226" s="238"/>
      <c r="J226" s="238"/>
      <c r="K226" s="238"/>
    </row>
    <row r="227" spans="8:11" ht="12.75">
      <c r="H227" s="72"/>
      <c r="I227" s="238"/>
      <c r="J227" s="238"/>
      <c r="K227" s="238"/>
    </row>
    <row r="228" spans="8:11" ht="12.75">
      <c r="H228" s="72"/>
      <c r="I228" s="238"/>
      <c r="J228" s="238"/>
      <c r="K228" s="238"/>
    </row>
    <row r="229" spans="8:11" ht="12.75">
      <c r="H229" s="72"/>
      <c r="I229" s="238"/>
      <c r="J229" s="238"/>
      <c r="K229" s="238"/>
    </row>
    <row r="230" spans="8:11" ht="12.75">
      <c r="H230" s="72"/>
      <c r="I230" s="238"/>
      <c r="J230" s="238"/>
      <c r="K230" s="238"/>
    </row>
    <row r="231" spans="8:11" ht="12.75">
      <c r="H231" s="72"/>
      <c r="I231" s="238"/>
      <c r="J231" s="238"/>
      <c r="K231" s="238"/>
    </row>
    <row r="232" spans="8:11" ht="12.75">
      <c r="H232" s="72"/>
      <c r="I232" s="238"/>
      <c r="J232" s="238"/>
      <c r="K232" s="238"/>
    </row>
    <row r="233" spans="8:11" ht="12.75">
      <c r="H233" s="72"/>
      <c r="I233" s="238"/>
      <c r="J233" s="238"/>
      <c r="K233" s="238"/>
    </row>
    <row r="234" spans="8:11" ht="12.75">
      <c r="H234" s="72"/>
      <c r="I234" s="238"/>
      <c r="J234" s="238"/>
      <c r="K234" s="238"/>
    </row>
    <row r="235" spans="8:11" ht="12.75">
      <c r="H235" s="72"/>
      <c r="I235" s="238"/>
      <c r="J235" s="238"/>
      <c r="K235" s="238"/>
    </row>
    <row r="236" spans="8:11" ht="12.75">
      <c r="H236" s="72"/>
      <c r="I236" s="238"/>
      <c r="J236" s="238"/>
      <c r="K236" s="238"/>
    </row>
    <row r="237" spans="8:11" ht="12.75">
      <c r="H237" s="72"/>
      <c r="I237" s="238"/>
      <c r="J237" s="238"/>
      <c r="K237" s="238"/>
    </row>
    <row r="238" spans="8:11" ht="12.75">
      <c r="H238" s="72"/>
      <c r="I238" s="238"/>
      <c r="J238" s="238"/>
      <c r="K238" s="238"/>
    </row>
    <row r="239" spans="8:11" ht="12.75">
      <c r="H239" s="72"/>
      <c r="I239" s="238"/>
      <c r="J239" s="238"/>
      <c r="K239" s="238"/>
    </row>
    <row r="240" spans="8:11" ht="12.75">
      <c r="H240" s="72"/>
      <c r="I240" s="238"/>
      <c r="J240" s="238"/>
      <c r="K240" s="238"/>
    </row>
    <row r="241" spans="8:11" ht="12.75">
      <c r="H241" s="72"/>
      <c r="I241" s="238"/>
      <c r="J241" s="238"/>
      <c r="K241" s="238"/>
    </row>
    <row r="242" spans="8:11" ht="12.75">
      <c r="H242" s="72"/>
      <c r="I242" s="238"/>
      <c r="J242" s="238"/>
      <c r="K242" s="238"/>
    </row>
    <row r="243" spans="8:11" ht="12.75">
      <c r="H243" s="72"/>
      <c r="I243" s="238"/>
      <c r="J243" s="238"/>
      <c r="K243" s="238"/>
    </row>
    <row r="244" spans="8:11" ht="12.75">
      <c r="H244" s="72"/>
      <c r="I244" s="238"/>
      <c r="J244" s="238"/>
      <c r="K244" s="238"/>
    </row>
    <row r="245" spans="8:11" ht="12.75">
      <c r="H245" s="72"/>
      <c r="I245" s="238"/>
      <c r="J245" s="238"/>
      <c r="K245" s="238"/>
    </row>
    <row r="246" spans="8:11" ht="12.75">
      <c r="H246" s="72"/>
      <c r="I246" s="238"/>
      <c r="J246" s="238"/>
      <c r="K246" s="238"/>
    </row>
    <row r="247" spans="8:11" ht="12.75">
      <c r="H247" s="72"/>
      <c r="I247" s="238"/>
      <c r="J247" s="238"/>
      <c r="K247" s="238"/>
    </row>
    <row r="248" spans="8:11" ht="12.75">
      <c r="H248" s="72"/>
      <c r="I248" s="238"/>
      <c r="J248" s="238"/>
      <c r="K248" s="238"/>
    </row>
    <row r="249" spans="8:11" ht="12.75">
      <c r="H249" s="72"/>
      <c r="I249" s="238"/>
      <c r="J249" s="238"/>
      <c r="K249" s="238"/>
    </row>
    <row r="250" spans="8:11" ht="12.75">
      <c r="H250" s="72"/>
      <c r="I250" s="238"/>
      <c r="J250" s="238"/>
      <c r="K250" s="238"/>
    </row>
    <row r="251" spans="8:11" ht="12.75">
      <c r="H251" s="72"/>
      <c r="I251" s="238"/>
      <c r="J251" s="238"/>
      <c r="K251" s="238"/>
    </row>
    <row r="252" spans="8:11" ht="12.75">
      <c r="H252" s="72"/>
      <c r="I252" s="238"/>
      <c r="J252" s="238"/>
      <c r="K252" s="238"/>
    </row>
    <row r="253" spans="8:11" ht="12.75">
      <c r="H253" s="72"/>
      <c r="I253" s="238"/>
      <c r="J253" s="238"/>
      <c r="K253" s="238"/>
    </row>
    <row r="254" spans="8:11" ht="12.75">
      <c r="H254" s="72"/>
      <c r="I254" s="238"/>
      <c r="J254" s="238"/>
      <c r="K254" s="238"/>
    </row>
    <row r="255" spans="8:11" ht="12.75">
      <c r="H255" s="72"/>
      <c r="I255" s="238"/>
      <c r="J255" s="238"/>
      <c r="K255" s="238"/>
    </row>
    <row r="256" spans="8:11" ht="12.75">
      <c r="H256" s="72"/>
      <c r="I256" s="238"/>
      <c r="J256" s="238"/>
      <c r="K256" s="238"/>
    </row>
    <row r="257" spans="8:11" ht="12.75">
      <c r="H257" s="72"/>
      <c r="I257" s="238"/>
      <c r="J257" s="238"/>
      <c r="K257" s="238"/>
    </row>
    <row r="258" spans="8:11" ht="12.75">
      <c r="H258" s="72"/>
      <c r="I258" s="238"/>
      <c r="J258" s="238"/>
      <c r="K258" s="238"/>
    </row>
    <row r="259" spans="8:11" ht="12.75">
      <c r="H259" s="72"/>
      <c r="I259" s="238"/>
      <c r="J259" s="238"/>
      <c r="K259" s="238"/>
    </row>
    <row r="260" spans="8:11" ht="12.75">
      <c r="H260" s="72"/>
      <c r="I260" s="238"/>
      <c r="J260" s="238"/>
      <c r="K260" s="238"/>
    </row>
    <row r="261" spans="8:11" ht="12.75">
      <c r="H261" s="72"/>
      <c r="I261" s="238"/>
      <c r="J261" s="238"/>
      <c r="K261" s="238"/>
    </row>
    <row r="262" spans="8:11" ht="12.75">
      <c r="H262" s="72"/>
      <c r="I262" s="238"/>
      <c r="J262" s="238"/>
      <c r="K262" s="238"/>
    </row>
    <row r="263" spans="8:11" ht="12.75">
      <c r="H263" s="72"/>
      <c r="I263" s="238"/>
      <c r="J263" s="238"/>
      <c r="K263" s="238"/>
    </row>
    <row r="264" spans="8:11" ht="12.75">
      <c r="H264" s="72"/>
      <c r="I264" s="238"/>
      <c r="J264" s="238"/>
      <c r="K264" s="238"/>
    </row>
    <row r="265" spans="8:11" ht="12.75">
      <c r="H265" s="72"/>
      <c r="I265" s="238"/>
      <c r="J265" s="238"/>
      <c r="K265" s="238"/>
    </row>
    <row r="266" spans="8:11" ht="12.75">
      <c r="H266" s="72"/>
      <c r="I266" s="238"/>
      <c r="J266" s="238"/>
      <c r="K266" s="238"/>
    </row>
    <row r="267" spans="8:11" ht="12.75">
      <c r="H267" s="72"/>
      <c r="I267" s="238"/>
      <c r="J267" s="238"/>
      <c r="K267" s="238"/>
    </row>
    <row r="268" spans="8:11" ht="12.75">
      <c r="H268" s="72"/>
      <c r="I268" s="238"/>
      <c r="J268" s="238"/>
      <c r="K268" s="238"/>
    </row>
    <row r="269" spans="8:11" ht="12.75">
      <c r="H269" s="72"/>
      <c r="I269" s="238"/>
      <c r="J269" s="238"/>
      <c r="K269" s="238"/>
    </row>
    <row r="270" spans="8:11" ht="12.75">
      <c r="H270" s="72"/>
      <c r="I270" s="238"/>
      <c r="J270" s="238"/>
      <c r="K270" s="238"/>
    </row>
    <row r="271" spans="8:11" ht="12.75">
      <c r="H271" s="72"/>
      <c r="I271" s="238"/>
      <c r="J271" s="238"/>
      <c r="K271" s="238"/>
    </row>
    <row r="272" spans="8:11" ht="12.75">
      <c r="H272" s="72"/>
      <c r="I272" s="238"/>
      <c r="J272" s="238"/>
      <c r="K272" s="238"/>
    </row>
    <row r="273" spans="8:11" ht="12.75">
      <c r="H273" s="72"/>
      <c r="I273" s="238"/>
      <c r="J273" s="238"/>
      <c r="K273" s="238"/>
    </row>
    <row r="274" spans="8:11" ht="12.75">
      <c r="H274" s="72"/>
      <c r="I274" s="238"/>
      <c r="J274" s="238"/>
      <c r="K274" s="238"/>
    </row>
    <row r="275" spans="8:11" ht="12.75">
      <c r="H275" s="72"/>
      <c r="I275" s="238"/>
      <c r="J275" s="238"/>
      <c r="K275" s="238"/>
    </row>
    <row r="276" spans="8:11" ht="12.75">
      <c r="H276" s="72"/>
      <c r="I276" s="238"/>
      <c r="J276" s="238"/>
      <c r="K276" s="238"/>
    </row>
    <row r="277" spans="8:11" ht="12.75">
      <c r="H277" s="72"/>
      <c r="I277" s="238"/>
      <c r="J277" s="238"/>
      <c r="K277" s="238"/>
    </row>
    <row r="278" spans="8:11" ht="12.75">
      <c r="H278" s="72"/>
      <c r="I278" s="238"/>
      <c r="J278" s="238"/>
      <c r="K278" s="238"/>
    </row>
    <row r="279" spans="8:11" ht="12.75">
      <c r="H279" s="72"/>
      <c r="I279" s="238"/>
      <c r="J279" s="238"/>
      <c r="K279" s="23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David Steeman</cp:lastModifiedBy>
  <cp:lastPrinted>2013-02-03T16:58:27Z</cp:lastPrinted>
  <dcterms:created xsi:type="dcterms:W3CDTF">2012-01-16T16:44:29Z</dcterms:created>
  <dcterms:modified xsi:type="dcterms:W3CDTF">2014-07-06T08:06:14Z</dcterms:modified>
  <cp:category/>
  <cp:version/>
  <cp:contentType/>
  <cp:contentStatus/>
</cp:coreProperties>
</file>